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ice lis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32.7" customWidth="1"/>
    <col min="2" max="2" width="38.7" customWidth="1"/>
    <col min="3" max="3" width="10.7" customWidth="1"/>
    <col min="4" max="4" width="11.7" customWidth="1"/>
    <col min="5" max="5" width="10.7" customWidth="1"/>
    <col min="6" max="6" width="9.7" customWidth="1"/>
    <col min="7" max="7" width="10.7" customWidth="1"/>
    <col min="8" max="8" width="12.7" customWidth="1"/>
    <col min="9" max="9" width="8.7" customWidth="1"/>
  </cols>
  <sheetData>
    <row r="1">
      <c r="A1" s="2" t="inlineStr">
        <is>
          <t xml:space="preserve">Price list with volume discounts</t>
        </is>
      </c>
    </row>
    <row r="2">
      <c r="A2" t="inlineStr">
        <is>
          <t xml:space="preserve">Customer</t>
        </is>
      </c>
      <c r="B2" t="inlineStr">
        <is>
          <t xml:space="preserve">Pinecrest Property Management</t>
        </is>
      </c>
      <c r="E2" s="9" t="inlineStr">
        <is>
          <t xml:space="preserve">Quote valid (days)</t>
        </is>
      </c>
      <c r="H2" s="9">
        <v>30</v>
      </c>
    </row>
    <row r="3">
      <c r="A3" t="inlineStr">
        <is>
          <t xml:space="preserve">Quote date</t>
        </is>
      </c>
      <c r="B3" s="5">
        <v>46328</v>
      </c>
      <c r="E3" s="9" t="inlineStr">
        <is>
          <t xml:space="preserve">Valid until</t>
        </is>
      </c>
      <c r="H3" s="5">
        <f>B3+H2</f>
        <v>46358</v>
      </c>
    </row>
    <row r="4">
      <c r="A4" t="inlineStr">
        <is>
          <t xml:space="preserve">Minimum margin</t>
        </is>
      </c>
      <c r="B4" s="13">
        <v>0.25</v>
      </c>
    </row>
    <row r="5">
      <c r="A5" s="2" t="inlineStr">
        <is>
          <t xml:space="preserve">SKU</t>
        </is>
      </c>
      <c r="B5" s="2" t="inlineStr">
        <is>
          <t xml:space="preserve">Product</t>
        </is>
      </c>
      <c r="C5" s="4" t="inlineStr">
        <is>
          <t xml:space="preserve">Unit cost</t>
        </is>
      </c>
      <c r="D5" s="4" t="inlineStr">
        <is>
          <t xml:space="preserve">List price</t>
        </is>
      </c>
      <c r="E5" s="10" t="inlineStr">
        <is>
          <t xml:space="preserve">Quote qty</t>
        </is>
      </c>
      <c r="F5" s="14" t="inlineStr">
        <is>
          <t xml:space="preserve">Discount</t>
        </is>
      </c>
      <c r="G5" s="4" t="inlineStr">
        <is>
          <t xml:space="preserve">Net price</t>
        </is>
      </c>
      <c r="H5" s="4" t="inlineStr">
        <is>
          <t xml:space="preserve">Line total</t>
        </is>
      </c>
      <c r="I5" s="14" t="inlineStr">
        <is>
          <t xml:space="preserve">Margin</t>
        </is>
      </c>
    </row>
    <row r="6">
      <c r="A6" t="inlineStr">
        <is>
          <t xml:space="preserve">PP-5000</t>
        </is>
      </c>
      <c r="B6" t="inlineStr">
        <is>
          <t xml:space="preserve">Copy paper 8.5 x 11, case of 10 reams</t>
        </is>
      </c>
      <c r="C6" s="3">
        <v>31.2</v>
      </c>
      <c r="D6" s="3">
        <v>49.99</v>
      </c>
      <c r="E6" s="9">
        <v>40</v>
      </c>
      <c r="F6" s="13">
        <f>IF(E6&lt;1,0,VLOOKUP(E6,$A$29:$B$33,2,TRUE))</f>
        <v>0.05</v>
      </c>
      <c r="G6" s="3">
        <f>ROUND(D6*(1-F6),2)</f>
        <v>47.49</v>
      </c>
      <c r="H6" s="3">
        <f>ROUND(G6*E6,2)</f>
        <v>1899.6</v>
      </c>
      <c r="I6" s="13">
        <f>IF(G6&gt;0,(G6-C6)/G6,0)</f>
        <v>0.34301958307012</v>
      </c>
    </row>
    <row r="7">
      <c r="A7" t="inlineStr">
        <is>
          <t xml:space="preserve">TN-26X</t>
        </is>
      </c>
      <c r="B7" t="inlineStr">
        <is>
          <t xml:space="preserve">Toner cartridge, high yield</t>
        </is>
      </c>
      <c r="C7" s="3">
        <v>88</v>
      </c>
      <c r="D7" s="3">
        <v>139</v>
      </c>
      <c r="E7" s="9">
        <v>6</v>
      </c>
      <c r="F7" s="13">
        <f>IF(E7&lt;1,0,VLOOKUP(E7,$A$29:$B$33,2,TRUE))</f>
        <v>0</v>
      </c>
      <c r="G7" s="3">
        <f>ROUND(D7*(1-F7),2)</f>
        <v>139</v>
      </c>
      <c r="H7" s="3">
        <f>ROUND(G7*E7,2)</f>
        <v>834</v>
      </c>
      <c r="I7" s="13">
        <f>IF(G7&gt;0,(G7-C7)/G7,0)</f>
        <v>0.366906474820144</v>
      </c>
    </row>
    <row r="8">
      <c r="A8" t="inlineStr">
        <is>
          <t xml:space="preserve">PN-BLK</t>
        </is>
      </c>
      <c r="B8" t="inlineStr">
        <is>
          <t xml:space="preserve">Gel pens, black, box of 12</t>
        </is>
      </c>
      <c r="C8" s="3">
        <v>4.1</v>
      </c>
      <c r="D8" s="3">
        <v>9.49</v>
      </c>
      <c r="E8" s="9">
        <v>30</v>
      </c>
      <c r="F8" s="13">
        <f>IF(E8&lt;1,0,VLOOKUP(E8,$A$29:$B$33,2,TRUE))</f>
        <v>0.05</v>
      </c>
      <c r="G8" s="3">
        <f>ROUND(D8*(1-F8),2)</f>
        <v>9.02</v>
      </c>
      <c r="H8" s="3">
        <f>ROUND(G8*E8,2)</f>
        <v>270.6</v>
      </c>
      <c r="I8" s="13">
        <f>IF(G8&gt;0,(G8-C8)/G8,0)</f>
        <v>0.545454545454546</v>
      </c>
    </row>
    <row r="9">
      <c r="A9" t="inlineStr">
        <is>
          <t xml:space="preserve">NB-LG</t>
        </is>
      </c>
      <c r="B9" t="inlineStr">
        <is>
          <t xml:space="preserve">Legal pads, pack of 12</t>
        </is>
      </c>
      <c r="C9" s="3">
        <v>7.25</v>
      </c>
      <c r="D9" s="3">
        <v>14.99</v>
      </c>
      <c r="E9" s="9">
        <v>25</v>
      </c>
      <c r="F9" s="13">
        <f>IF(E9&lt;1,0,VLOOKUP(E9,$A$29:$B$33,2,TRUE))</f>
        <v>0.05</v>
      </c>
      <c r="G9" s="3">
        <f>ROUND(D9*(1-F9),2)</f>
        <v>14.24</v>
      </c>
      <c r="H9" s="3">
        <f>ROUND(G9*E9,2)</f>
        <v>356</v>
      </c>
      <c r="I9" s="13">
        <f>IF(G9&gt;0,(G9-C9)/G9,0)</f>
        <v>0.490870786516854</v>
      </c>
    </row>
    <row r="10">
      <c r="A10" t="inlineStr">
        <is>
          <t xml:space="preserve">FL-LTR</t>
        </is>
      </c>
      <c r="B10" t="inlineStr">
        <is>
          <t xml:space="preserve">File folders, letter, box of 100</t>
        </is>
      </c>
      <c r="C10" s="3">
        <v>9.8</v>
      </c>
      <c r="D10" s="3">
        <v>18.5</v>
      </c>
      <c r="E10" s="9">
        <v>10</v>
      </c>
      <c r="F10" s="13">
        <f>IF(E10&lt;1,0,VLOOKUP(E10,$A$29:$B$33,2,TRUE))</f>
        <v>0</v>
      </c>
      <c r="G10" s="3">
        <f>ROUND(D10*(1-F10),2)</f>
        <v>18.5</v>
      </c>
      <c r="H10" s="3">
        <f>ROUND(G10*E10,2)</f>
        <v>185</v>
      </c>
      <c r="I10" s="13">
        <f>IF(G10&gt;0,(G10-C10)/G10,0)</f>
        <v>0.47027027027027</v>
      </c>
    </row>
    <row r="11">
      <c r="A11" t="inlineStr">
        <is>
          <t xml:space="preserve">ST-STD</t>
        </is>
      </c>
      <c r="B11" t="inlineStr">
        <is>
          <t xml:space="preserve">Standard staples, box of 5000</t>
        </is>
      </c>
      <c r="C11" s="3">
        <v>1.35</v>
      </c>
      <c r="D11" s="3">
        <v>3.99</v>
      </c>
      <c r="F11" s="13">
        <f>IF(E11&lt;1,0,VLOOKUP(E11,$A$29:$B$33,2,TRUE))</f>
        <v>0</v>
      </c>
      <c r="G11" s="3">
        <f>ROUND(D11*(1-F11),2)</f>
        <v>3.99</v>
      </c>
      <c r="H11" s="3">
        <f>ROUND(G11*E11,2)</f>
        <v>0</v>
      </c>
      <c r="I11" s="13">
        <f>IF(G11&gt;0,(G11-C11)/G11,0)</f>
        <v>0.661654135338346</v>
      </c>
    </row>
    <row r="12">
      <c r="A12" t="inlineStr">
        <is>
          <t xml:space="preserve">BN-1</t>
        </is>
      </c>
      <c r="B12" t="inlineStr">
        <is>
          <t xml:space="preserve">Binders, 1 in, white</t>
        </is>
      </c>
      <c r="C12" s="3">
        <v>2.15</v>
      </c>
      <c r="D12" s="3">
        <v>4.79</v>
      </c>
      <c r="E12" s="9">
        <v>120</v>
      </c>
      <c r="F12" s="13">
        <f>IF(E12&lt;1,0,VLOOKUP(E12,$A$29:$B$33,2,TRUE))</f>
        <v>0.1</v>
      </c>
      <c r="G12" s="3">
        <f>ROUND(D12*(1-F12),2)</f>
        <v>4.31</v>
      </c>
      <c r="H12" s="3">
        <f>ROUND(G12*E12,2)</f>
        <v>517.2</v>
      </c>
      <c r="I12" s="13">
        <f>IF(G12&gt;0,(G12-C12)/G12,0)</f>
        <v>0.501160092807425</v>
      </c>
    </row>
    <row r="13">
      <c r="A13" t="inlineStr">
        <is>
          <t xml:space="preserve">LB-30</t>
        </is>
      </c>
      <c r="B13" t="inlineStr">
        <is>
          <t xml:space="preserve">Address labels, 100 sheets</t>
        </is>
      </c>
      <c r="C13" s="3">
        <v>12.4</v>
      </c>
      <c r="D13" s="3">
        <v>24.99</v>
      </c>
      <c r="F13" s="13">
        <f>IF(E13&lt;1,0,VLOOKUP(E13,$A$29:$B$33,2,TRUE))</f>
        <v>0</v>
      </c>
      <c r="G13" s="3">
        <f>ROUND(D13*(1-F13),2)</f>
        <v>24.99</v>
      </c>
      <c r="H13" s="3">
        <f>ROUND(G13*E13,2)</f>
        <v>0</v>
      </c>
      <c r="I13" s="13">
        <f>IF(G13&gt;0,(G13-C13)/G13,0)</f>
        <v>0.503801520608243</v>
      </c>
    </row>
    <row r="14">
      <c r="A14" t="inlineStr">
        <is>
          <t xml:space="preserve">EN-10</t>
        </is>
      </c>
      <c r="B14" t="inlineStr">
        <is>
          <t xml:space="preserve">#10 envelopes, box of 500</t>
        </is>
      </c>
      <c r="C14" s="3">
        <v>14.6</v>
      </c>
      <c r="D14" s="3">
        <v>27.49</v>
      </c>
      <c r="E14" s="9">
        <v>8</v>
      </c>
      <c r="F14" s="13">
        <f>IF(E14&lt;1,0,VLOOKUP(E14,$A$29:$B$33,2,TRUE))</f>
        <v>0</v>
      </c>
      <c r="G14" s="3">
        <f>ROUND(D14*(1-F14),2)</f>
        <v>27.49</v>
      </c>
      <c r="H14" s="3">
        <f>ROUND(G14*E14,2)</f>
        <v>219.92</v>
      </c>
      <c r="I14" s="13">
        <f>IF(G14&gt;0,(G14-C14)/G14,0)</f>
        <v>0.468897781011277</v>
      </c>
    </row>
    <row r="15">
      <c r="A15" t="inlineStr">
        <is>
          <t xml:space="preserve">CF-DK</t>
        </is>
      </c>
      <c r="B15" t="inlineStr">
        <is>
          <t xml:space="preserve">Coffee, dark roast, 2 lb bag</t>
        </is>
      </c>
      <c r="C15" s="3">
        <v>13.9</v>
      </c>
      <c r="D15" s="3">
        <v>21.99</v>
      </c>
      <c r="E15" s="9">
        <v>24</v>
      </c>
      <c r="F15" s="13">
        <f>IF(E15&lt;1,0,VLOOKUP(E15,$A$29:$B$33,2,TRUE))</f>
        <v>0</v>
      </c>
      <c r="G15" s="3">
        <f>ROUND(D15*(1-F15),2)</f>
        <v>21.99</v>
      </c>
      <c r="H15" s="3">
        <f>ROUND(G15*E15,2)</f>
        <v>527.76</v>
      </c>
      <c r="I15" s="13">
        <f>IF(G15&gt;0,(G15-C15)/G15,0)</f>
        <v>0.367894497498863</v>
      </c>
    </row>
    <row r="16">
      <c r="A16" t="inlineStr">
        <is>
          <t xml:space="preserve">CP-12</t>
        </is>
      </c>
      <c r="B16" t="inlineStr">
        <is>
          <t xml:space="preserve">Paper cups 12 oz, sleeve of 50</t>
        </is>
      </c>
      <c r="C16" s="3">
        <v>3.4</v>
      </c>
      <c r="D16" s="3">
        <v>6.49</v>
      </c>
      <c r="E16" s="9">
        <v>300</v>
      </c>
      <c r="F16" s="13">
        <f>IF(E16&lt;1,0,VLOOKUP(E16,$A$29:$B$33,2,TRUE))</f>
        <v>0.15</v>
      </c>
      <c r="G16" s="3">
        <f>ROUND(D16*(1-F16),2)</f>
        <v>5.52</v>
      </c>
      <c r="H16" s="3">
        <f>ROUND(G16*E16,2)</f>
        <v>1656</v>
      </c>
      <c r="I16" s="13">
        <f>IF(G16&gt;0,(G16-C16)/G16,0)</f>
        <v>0.384057971014493</v>
      </c>
    </row>
    <row r="17">
      <c r="A17" t="inlineStr">
        <is>
          <t xml:space="preserve">CL-WP</t>
        </is>
      </c>
      <c r="B17" t="inlineStr">
        <is>
          <t xml:space="preserve">Disinfecting wipes, 3-pack</t>
        </is>
      </c>
      <c r="C17" s="3">
        <v>6.9</v>
      </c>
      <c r="D17" s="3">
        <v>11.99</v>
      </c>
      <c r="E17" s="9">
        <v>60</v>
      </c>
      <c r="F17" s="13">
        <f>IF(E17&lt;1,0,VLOOKUP(E17,$A$29:$B$33,2,TRUE))</f>
        <v>0.05</v>
      </c>
      <c r="G17" s="3">
        <f>ROUND(D17*(1-F17),2)</f>
        <v>11.39</v>
      </c>
      <c r="H17" s="3">
        <f>ROUND(G17*E17,2)</f>
        <v>683.4</v>
      </c>
      <c r="I17" s="13">
        <f>IF(G17&gt;0,(G17-C17)/G17,0)</f>
        <v>0.394205443371378</v>
      </c>
    </row>
    <row r="18">
      <c r="A18" t="inlineStr">
        <is>
          <t xml:space="preserve">TB-13</t>
        </is>
      </c>
      <c r="B18" t="inlineStr">
        <is>
          <t xml:space="preserve">Trash bags 13 gal, box of 200</t>
        </is>
      </c>
      <c r="C18" s="3">
        <v>15.75</v>
      </c>
      <c r="D18" s="3">
        <v>22.99</v>
      </c>
      <c r="E18" s="9">
        <v>520</v>
      </c>
      <c r="F18" s="13">
        <f>IF(E18&lt;1,0,VLOOKUP(E18,$A$29:$B$33,2,TRUE))</f>
        <v>0.2</v>
      </c>
      <c r="G18" s="3">
        <f>ROUND(D18*(1-F18),2)</f>
        <v>18.39</v>
      </c>
      <c r="H18" s="3">
        <f>ROUND(G18*E18,2)</f>
        <v>9562.8</v>
      </c>
      <c r="I18" s="13">
        <f>IF(G18&gt;0,(G18-C18)/G18,0)</f>
        <v>0.143556280587276</v>
      </c>
    </row>
    <row r="19">
      <c r="A19" t="inlineStr">
        <is>
          <t xml:space="preserve">HS-1G</t>
        </is>
      </c>
      <c r="B19" t="inlineStr">
        <is>
          <t xml:space="preserve">Hand soap refill, 1 gal</t>
        </is>
      </c>
      <c r="C19" s="3">
        <v>8.4</v>
      </c>
      <c r="D19" s="3">
        <v>15.99</v>
      </c>
      <c r="F19" s="13">
        <f>IF(E19&lt;1,0,VLOOKUP(E19,$A$29:$B$33,2,TRUE))</f>
        <v>0</v>
      </c>
      <c r="G19" s="3">
        <f>ROUND(D19*(1-F19),2)</f>
        <v>15.99</v>
      </c>
      <c r="H19" s="3">
        <f>ROUND(G19*E19,2)</f>
        <v>0</v>
      </c>
      <c r="I19" s="13">
        <f>IF(G19&gt;0,(G19-C19)/G19,0)</f>
        <v>0.474671669793621</v>
      </c>
    </row>
    <row r="20">
      <c r="A20" s="2" t="inlineStr">
        <is>
          <t xml:space="preserve">Quote totals</t>
        </is>
      </c>
      <c r="E20" s="10">
        <f>SUM(E6:E19)</f>
        <v>1143</v>
      </c>
      <c r="H20" s="4">
        <f>SUM(H6:H19)</f>
        <v>16712.28</v>
      </c>
      <c r="I20" s="14">
        <f>IF(H20&gt;0,(H20-SUMPRODUCT(C6:C19,E6:E19))/H20,0)</f>
        <v>0.251409741818591</v>
      </c>
    </row>
    <row r="22">
      <c r="A22" t="inlineStr">
        <is>
          <t xml:space="preserve">Quote at list price</t>
        </is>
      </c>
      <c r="D22" s="3">
        <f>SUMPRODUCT(D6:D19,E6:E19)</f>
        <v>19621.73</v>
      </c>
    </row>
    <row r="23">
      <c r="A23" t="inlineStr">
        <is>
          <t xml:space="preserve">Volume discounts given</t>
        </is>
      </c>
      <c r="D23" s="3">
        <f>D22-H20</f>
        <v>2909.45</v>
      </c>
    </row>
    <row r="24">
      <c r="A24" t="inlineStr">
        <is>
          <t xml:space="preserve">Gross profit on quote</t>
        </is>
      </c>
      <c r="D24" s="3">
        <f>H20-SUMPRODUCT(C6:C19,E6:E19)</f>
        <v>4201.63</v>
      </c>
    </row>
    <row r="25">
      <c r="A25" t="inlineStr">
        <is>
          <t xml:space="preserve">Quoted lines below minimum margin</t>
        </is>
      </c>
      <c r="D25" s="9">
        <f>COUNTIFS(I6:I19,"&lt;"&amp;B4,E6:E19,"&gt;0")</f>
        <v>1</v>
      </c>
    </row>
    <row r="27">
      <c r="A27" s="2" t="inlineStr">
        <is>
          <t xml:space="preserve">Discount tiers</t>
        </is>
      </c>
      <c r="C27" s="4" t="inlineStr">
        <is>
          <t xml:space="preserve">Price breaks for SKU</t>
        </is>
      </c>
      <c r="E27" s="10" t="inlineStr">
        <is>
          <t xml:space="preserve">CP-12</t>
        </is>
      </c>
    </row>
    <row r="28">
      <c r="A28" s="2" t="inlineStr">
        <is>
          <t xml:space="preserve">Min qty</t>
        </is>
      </c>
      <c r="B28" s="2" t="inlineStr">
        <is>
          <t xml:space="preserve">Discount</t>
        </is>
      </c>
      <c r="C28" s="4" t="inlineStr">
        <is>
          <t xml:space="preserve">Net price</t>
        </is>
      </c>
      <c r="D28" s="4" t="inlineStr">
        <is>
          <t xml:space="preserve">Margin</t>
        </is>
      </c>
    </row>
    <row r="29">
      <c r="A29" s="9">
        <v>1</v>
      </c>
      <c r="B29" s="13">
        <v>0</v>
      </c>
      <c r="C29" s="3">
        <f>IFERROR(ROUND(INDEX($D$6:$D$19,MATCH($E$27,$A$6:$A$19,0))*(1-B29),2),0)</f>
        <v>6.49</v>
      </c>
      <c r="D29" s="13">
        <f>IFERROR((C29-INDEX($C$6:$C$19,MATCH($E$27,$A$6:$A$19,0)))/C29,0)</f>
        <v>0.476117103235747</v>
      </c>
    </row>
    <row r="30">
      <c r="A30" s="9">
        <v>25</v>
      </c>
      <c r="B30" s="13">
        <v>0.05</v>
      </c>
      <c r="C30" s="3">
        <f>IFERROR(ROUND(INDEX($D$6:$D$19,MATCH($E$27,$A$6:$A$19,0))*(1-B30),2),0)</f>
        <v>6.17</v>
      </c>
      <c r="D30" s="13">
        <f>IFERROR((C30-INDEX($C$6:$C$19,MATCH($E$27,$A$6:$A$19,0)))/C30,0)</f>
        <v>0.448946515397083</v>
      </c>
    </row>
    <row r="31">
      <c r="A31" s="9">
        <v>100</v>
      </c>
      <c r="B31" s="13">
        <v>0.1</v>
      </c>
      <c r="C31" s="3">
        <f>IFERROR(ROUND(INDEX($D$6:$D$19,MATCH($E$27,$A$6:$A$19,0))*(1-B31),2),0)</f>
        <v>5.84</v>
      </c>
      <c r="D31" s="13">
        <f>IFERROR((C31-INDEX($C$6:$C$19,MATCH($E$27,$A$6:$A$19,0)))/C31,0)</f>
        <v>0.417808219178082</v>
      </c>
    </row>
    <row r="32">
      <c r="A32" s="9">
        <v>250</v>
      </c>
      <c r="B32" s="13">
        <v>0.15</v>
      </c>
      <c r="C32" s="3">
        <f>IFERROR(ROUND(INDEX($D$6:$D$19,MATCH($E$27,$A$6:$A$19,0))*(1-B32),2),0)</f>
        <v>5.52</v>
      </c>
      <c r="D32" s="13">
        <f>IFERROR((C32-INDEX($C$6:$C$19,MATCH($E$27,$A$6:$A$19,0)))/C32,0)</f>
        <v>0.384057971014493</v>
      </c>
    </row>
    <row r="33">
      <c r="A33" s="9">
        <v>500</v>
      </c>
      <c r="B33" s="13">
        <v>0.2</v>
      </c>
      <c r="C33" s="3">
        <f>IFERROR(ROUND(INDEX($D$6:$D$19,MATCH($E$27,$A$6:$A$19,0))*(1-B33),2),0)</f>
        <v>5.19</v>
      </c>
      <c r="D33" s="13">
        <f>IFERROR((C33-INDEX($C$6:$C$19,MATCH($E$27,$A$6:$A$19,0)))/C33,0)</f>
        <v>0.344894026974952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price list template with volume discounts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