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ipelin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.7" customWidth="1"/>
    <col min="2" max="2" width="24.7" customWidth="1"/>
    <col min="3" max="3" width="9.7" customWidth="1"/>
    <col min="4" max="4" width="13.7" customWidth="1"/>
    <col min="5" max="5" width="12.7" customWidth="1"/>
    <col min="6" max="6" width="14.7" customWidth="1"/>
    <col min="7" max="7" width="11.7" customWidth="1"/>
    <col min="8" max="8" width="15.7" customWidth="1"/>
    <col min="9" max="9" width="3.7" customWidth="1"/>
    <col min="10" max="10" width="24.7" customWidth="1"/>
    <col min="11" max="11" width="17.7" customWidth="1"/>
    <col min="12" max="12" width="15.7" customWidth="1"/>
  </cols>
  <sheetData>
    <row r="1">
      <c r="A1" s="2" t="inlineStr">
        <is>
          <t xml:space="preserve">Deal</t>
        </is>
      </c>
      <c r="B1" s="2" t="inlineStr">
        <is>
          <t xml:space="preserve">Account</t>
        </is>
      </c>
      <c r="C1" s="2" t="inlineStr">
        <is>
          <t xml:space="preserve">Rep</t>
        </is>
      </c>
      <c r="D1" s="2" t="inlineStr">
        <is>
          <t xml:space="preserve">Stage</t>
        </is>
      </c>
      <c r="E1" s="4" t="inlineStr">
        <is>
          <t xml:space="preserve">Amount</t>
        </is>
      </c>
      <c r="F1" s="6" t="inlineStr">
        <is>
          <t xml:space="preserve">Expected close</t>
        </is>
      </c>
      <c r="G1" s="14" t="inlineStr">
        <is>
          <t xml:space="preserve">Probability</t>
        </is>
      </c>
      <c r="H1" s="4" t="inlineStr">
        <is>
          <t xml:space="preserve">Weighted (open)</t>
        </is>
      </c>
      <c r="J1" s="2" t="inlineStr">
        <is>
          <t xml:space="preserve">Stage</t>
        </is>
      </c>
      <c r="K1" s="4" t="inlineStr">
        <is>
          <t xml:space="preserve">Probability</t>
        </is>
      </c>
    </row>
    <row r="2">
      <c r="A2" t="inlineStr">
        <is>
          <t xml:space="preserve">D-3001</t>
        </is>
      </c>
      <c r="B2" t="inlineStr">
        <is>
          <t xml:space="preserve">Harbor Logistics</t>
        </is>
      </c>
      <c r="C2" t="inlineStr">
        <is>
          <t xml:space="preserve">Maya</t>
        </is>
      </c>
      <c r="D2" t="inlineStr">
        <is>
          <t xml:space="preserve">Negotiation</t>
        </is>
      </c>
      <c r="E2" s="3">
        <v>31000</v>
      </c>
      <c r="F2" s="5">
        <v>46338</v>
      </c>
      <c r="G2" s="13">
        <f>IF(D2="","",_xlfn.XLOOKUP(D2,$J$2:$J$7,$K$2:$K$7,"Check stage"))</f>
        <v>0.75</v>
      </c>
      <c r="H2" s="3">
        <f>IF(ISNUMBER(G2),IF(OR(D2="Won",D2="Lost"),0,ROUND(E2*G2,2)),0)</f>
        <v>23250</v>
      </c>
      <c r="J2" t="inlineStr">
        <is>
          <t xml:space="preserve">Prospect</t>
        </is>
      </c>
      <c r="K2" s="13">
        <v>0.1</v>
      </c>
    </row>
    <row r="3">
      <c r="A3" t="inlineStr">
        <is>
          <t xml:space="preserve">D-3002</t>
        </is>
      </c>
      <c r="B3" t="inlineStr">
        <is>
          <t xml:space="preserve">Pinecrest Dental Group</t>
        </is>
      </c>
      <c r="C3" t="inlineStr">
        <is>
          <t xml:space="preserve">Luis</t>
        </is>
      </c>
      <c r="D3" t="inlineStr">
        <is>
          <t xml:space="preserve">Proposal</t>
        </is>
      </c>
      <c r="E3" s="3">
        <v>24000</v>
      </c>
      <c r="F3" s="5">
        <v>46346</v>
      </c>
      <c r="G3" s="13">
        <f>IF(D3="","",_xlfn.XLOOKUP(D3,$J$2:$J$7,$K$2:$K$7,"Check stage"))</f>
        <v>0.5</v>
      </c>
      <c r="H3" s="3">
        <f>IF(ISNUMBER(G3),IF(OR(D3="Won",D3="Lost"),0,ROUND(E3*G3,2)),0)</f>
        <v>12000</v>
      </c>
      <c r="J3" t="inlineStr">
        <is>
          <t xml:space="preserve">Demo</t>
        </is>
      </c>
      <c r="K3" s="13">
        <v>0.3</v>
      </c>
    </row>
    <row r="4">
      <c r="A4" t="inlineStr">
        <is>
          <t xml:space="preserve">D-3003</t>
        </is>
      </c>
      <c r="B4" t="inlineStr">
        <is>
          <t xml:space="preserve">Brightline Schools</t>
        </is>
      </c>
      <c r="C4" t="inlineStr">
        <is>
          <t xml:space="preserve">Priya</t>
        </is>
      </c>
      <c r="D4" t="inlineStr">
        <is>
          <t xml:space="preserve">Demo</t>
        </is>
      </c>
      <c r="E4" s="3">
        <v>15000</v>
      </c>
      <c r="F4" s="5">
        <v>46360</v>
      </c>
      <c r="G4" s="13">
        <f>IF(D4="","",_xlfn.XLOOKUP(D4,$J$2:$J$7,$K$2:$K$7,"Check stage"))</f>
        <v>0.3</v>
      </c>
      <c r="H4" s="3">
        <f>IF(ISNUMBER(G4),IF(OR(D4="Won",D4="Lost"),0,ROUND(E4*G4,2)),0)</f>
        <v>4500</v>
      </c>
      <c r="J4" t="inlineStr">
        <is>
          <t xml:space="preserve">Proposal</t>
        </is>
      </c>
      <c r="K4" s="13">
        <v>0.5</v>
      </c>
    </row>
    <row r="5">
      <c r="A5" t="inlineStr">
        <is>
          <t xml:space="preserve">D-3004</t>
        </is>
      </c>
      <c r="B5" t="inlineStr">
        <is>
          <t xml:space="preserve">Oakfield Foods</t>
        </is>
      </c>
      <c r="C5" t="inlineStr">
        <is>
          <t xml:space="preserve">Maya</t>
        </is>
      </c>
      <c r="D5" t="inlineStr">
        <is>
          <t xml:space="preserve">Won</t>
        </is>
      </c>
      <c r="E5" s="3">
        <v>18500</v>
      </c>
      <c r="F5" s="5">
        <v>46303</v>
      </c>
      <c r="G5" s="13">
        <f>IF(D5="","",_xlfn.XLOOKUP(D5,$J$2:$J$7,$K$2:$K$7,"Check stage"))</f>
        <v>1</v>
      </c>
      <c r="H5" s="3">
        <f>IF(ISNUMBER(G5),IF(OR(D5="Won",D5="Lost"),0,ROUND(E5*G5,2)),0)</f>
        <v>0</v>
      </c>
      <c r="J5" t="inlineStr">
        <is>
          <t xml:space="preserve">Negotiation</t>
        </is>
      </c>
      <c r="K5" s="13">
        <v>0.75</v>
      </c>
    </row>
    <row r="6">
      <c r="A6" t="inlineStr">
        <is>
          <t xml:space="preserve">D-3005</t>
        </is>
      </c>
      <c r="B6" t="inlineStr">
        <is>
          <t xml:space="preserve">Summit Fitness</t>
        </is>
      </c>
      <c r="C6" t="inlineStr">
        <is>
          <t xml:space="preserve">Luis</t>
        </is>
      </c>
      <c r="D6" t="inlineStr">
        <is>
          <t xml:space="preserve">Lost</t>
        </is>
      </c>
      <c r="E6" s="3">
        <v>12500</v>
      </c>
      <c r="F6" s="5">
        <v>46317</v>
      </c>
      <c r="G6" s="13">
        <f>IF(D6="","",_xlfn.XLOOKUP(D6,$J$2:$J$7,$K$2:$K$7,"Check stage"))</f>
        <v>0</v>
      </c>
      <c r="H6" s="3">
        <f>IF(ISNUMBER(G6),IF(OR(D6="Won",D6="Lost"),0,ROUND(E6*G6,2)),0)</f>
        <v>0</v>
      </c>
      <c r="J6" t="inlineStr">
        <is>
          <t xml:space="preserve">Won</t>
        </is>
      </c>
      <c r="K6" s="13">
        <v>1</v>
      </c>
    </row>
    <row r="7">
      <c r="A7" t="inlineStr">
        <is>
          <t xml:space="preserve">D-3006</t>
        </is>
      </c>
      <c r="B7" t="inlineStr">
        <is>
          <t xml:space="preserve">Northgate Realty</t>
        </is>
      </c>
      <c r="C7" t="inlineStr">
        <is>
          <t xml:space="preserve">Priya</t>
        </is>
      </c>
      <c r="D7" t="inlineStr">
        <is>
          <t xml:space="preserve">Negotiation</t>
        </is>
      </c>
      <c r="E7" s="3">
        <v>27500</v>
      </c>
      <c r="F7" s="5">
        <v>46351</v>
      </c>
      <c r="G7" s="13">
        <f>IF(D7="","",_xlfn.XLOOKUP(D7,$J$2:$J$7,$K$2:$K$7,"Check stage"))</f>
        <v>0.75</v>
      </c>
      <c r="H7" s="3">
        <f>IF(ISNUMBER(G7),IF(OR(D7="Won",D7="Lost"),0,ROUND(E7*G7,2)),0)</f>
        <v>20625</v>
      </c>
      <c r="J7" t="inlineStr">
        <is>
          <t xml:space="preserve">Lost</t>
        </is>
      </c>
      <c r="K7" s="13">
        <v>0</v>
      </c>
    </row>
    <row r="8">
      <c r="A8" t="inlineStr">
        <is>
          <t xml:space="preserve">D-3007</t>
        </is>
      </c>
      <c r="B8" t="inlineStr">
        <is>
          <t xml:space="preserve">Cedar Labs</t>
        </is>
      </c>
      <c r="C8" t="inlineStr">
        <is>
          <t xml:space="preserve">Maya</t>
        </is>
      </c>
      <c r="D8" t="inlineStr">
        <is>
          <t xml:space="preserve">Prospect</t>
        </is>
      </c>
      <c r="E8" s="3">
        <v>40000</v>
      </c>
      <c r="F8" s="5">
        <v>46402</v>
      </c>
      <c r="G8" s="13">
        <f>IF(D8="","",_xlfn.XLOOKUP(D8,$J$2:$J$7,$K$2:$K$7,"Check stage"))</f>
        <v>0.1</v>
      </c>
      <c r="H8" s="3">
        <f>IF(ISNUMBER(G8),IF(OR(D8="Won",D8="Lost"),0,ROUND(E8*G8,2)),0)</f>
        <v>4000</v>
      </c>
    </row>
    <row r="9">
      <c r="A9" t="inlineStr">
        <is>
          <t xml:space="preserve">D-3008</t>
        </is>
      </c>
      <c r="B9" t="inlineStr">
        <is>
          <t xml:space="preserve">Riverbend Clinic</t>
        </is>
      </c>
      <c r="C9" t="inlineStr">
        <is>
          <t xml:space="preserve">Luis</t>
        </is>
      </c>
      <c r="D9" t="inlineStr">
        <is>
          <t xml:space="preserve">Won</t>
        </is>
      </c>
      <c r="E9" s="3">
        <v>21400</v>
      </c>
      <c r="F9" s="5">
        <v>46324</v>
      </c>
      <c r="G9" s="13">
        <f>IF(D9="","",_xlfn.XLOOKUP(D9,$J$2:$J$7,$K$2:$K$7,"Check stage"))</f>
        <v>1</v>
      </c>
      <c r="H9" s="3">
        <f>IF(ISNUMBER(G9),IF(OR(D9="Won",D9="Lost"),0,ROUND(E9*G9,2)),0)</f>
        <v>0</v>
      </c>
      <c r="J9" s="2" t="inlineStr">
        <is>
          <t xml:space="preserve">Summary</t>
        </is>
      </c>
    </row>
    <row r="10">
      <c r="A10" t="inlineStr">
        <is>
          <t xml:space="preserve">D-3009</t>
        </is>
      </c>
      <c r="B10" t="inlineStr">
        <is>
          <t xml:space="preserve">Atlas Print Co.</t>
        </is>
      </c>
      <c r="C10" t="inlineStr">
        <is>
          <t xml:space="preserve">Priya</t>
        </is>
      </c>
      <c r="D10" t="inlineStr">
        <is>
          <t xml:space="preserve">Proposal</t>
        </is>
      </c>
      <c r="E10" s="3">
        <v>9600</v>
      </c>
      <c r="F10" s="5">
        <v>46367</v>
      </c>
      <c r="G10" s="13">
        <f>IF(D10="","",_xlfn.XLOOKUP(D10,$J$2:$J$7,$K$2:$K$7,"Check stage"))</f>
        <v>0.5</v>
      </c>
      <c r="H10" s="3">
        <f>IF(ISNUMBER(G10),IF(OR(D10="Won",D10="Lost"),0,ROUND(E10*G10,2)),0)</f>
        <v>4800</v>
      </c>
      <c r="J10" t="inlineStr">
        <is>
          <t xml:space="preserve">Open pipeline</t>
        </is>
      </c>
      <c r="K10" s="3">
        <f>SUMIFS(E2:E15,D2:D15,"&lt;&gt;Won",D2:D15,"&lt;&gt;Lost",D2:D15,"&lt;&gt;")</f>
        <v>232100</v>
      </c>
    </row>
    <row r="11">
      <c r="A11" t="inlineStr">
        <is>
          <t xml:space="preserve">D-3010</t>
        </is>
      </c>
      <c r="B11" t="inlineStr">
        <is>
          <t xml:space="preserve">Greenway Builders</t>
        </is>
      </c>
      <c r="C11" t="inlineStr">
        <is>
          <t xml:space="preserve">Luis</t>
        </is>
      </c>
      <c r="D11" t="inlineStr">
        <is>
          <t xml:space="preserve">Demo</t>
        </is>
      </c>
      <c r="E11" s="3">
        <v>33000</v>
      </c>
      <c r="F11" s="5">
        <v>46395</v>
      </c>
      <c r="G11" s="13">
        <f>IF(D11="","",_xlfn.XLOOKUP(D11,$J$2:$J$7,$K$2:$K$7,"Check stage"))</f>
        <v>0.3</v>
      </c>
      <c r="H11" s="3">
        <f>IF(ISNUMBER(G11),IF(OR(D11="Won",D11="Lost"),0,ROUND(E11*G11,2)),0)</f>
        <v>9900</v>
      </c>
      <c r="J11" s="2" t="inlineStr">
        <is>
          <t xml:space="preserve">Weighted forecast</t>
        </is>
      </c>
      <c r="K11" s="4">
        <f>SUM(H2:H15)</f>
        <v>105075</v>
      </c>
    </row>
    <row r="12">
      <c r="A12" t="inlineStr">
        <is>
          <t xml:space="preserve">D-3011</t>
        </is>
      </c>
      <c r="B12" t="inlineStr">
        <is>
          <t xml:space="preserve">Lumen Studio</t>
        </is>
      </c>
      <c r="C12" t="inlineStr">
        <is>
          <t xml:space="preserve">Priya</t>
        </is>
      </c>
      <c r="D12" t="inlineStr">
        <is>
          <t xml:space="preserve">Won</t>
        </is>
      </c>
      <c r="E12" s="3">
        <v>16300</v>
      </c>
      <c r="F12" s="5">
        <v>46322</v>
      </c>
      <c r="G12" s="13">
        <f>IF(D12="","",_xlfn.XLOOKUP(D12,$J$2:$J$7,$K$2:$K$7,"Check stage"))</f>
        <v>1</v>
      </c>
      <c r="H12" s="3">
        <f>IF(ISNUMBER(G12),IF(OR(D12="Won",D12="Lost"),0,ROUND(E12*G12,2)),0)</f>
        <v>0</v>
      </c>
      <c r="J12" t="inlineStr">
        <is>
          <t xml:space="preserve">Won</t>
        </is>
      </c>
      <c r="K12" s="3">
        <f>SUMIF(D2:D15,"Won",E2:E15)</f>
        <v>56200</v>
      </c>
    </row>
    <row r="13">
      <c r="A13" t="inlineStr">
        <is>
          <t xml:space="preserve">D-3012</t>
        </is>
      </c>
      <c r="B13" t="inlineStr">
        <is>
          <t xml:space="preserve">Bayside Hotels</t>
        </is>
      </c>
      <c r="C13" t="inlineStr">
        <is>
          <t xml:space="preserve">Maya</t>
        </is>
      </c>
      <c r="D13" t="inlineStr">
        <is>
          <t xml:space="preserve">Proposal</t>
        </is>
      </c>
      <c r="E13" s="3">
        <v>52000</v>
      </c>
      <c r="F13" s="5">
        <v>46375</v>
      </c>
      <c r="G13" s="13">
        <f>IF(D13="","",_xlfn.XLOOKUP(D13,$J$2:$J$7,$K$2:$K$7,"Check stage"))</f>
        <v>0.5</v>
      </c>
      <c r="H13" s="3">
        <f>IF(ISNUMBER(G13),IF(OR(D13="Won",D13="Lost"),0,ROUND(E13*G13,2)),0)</f>
        <v>26000</v>
      </c>
      <c r="J13" t="inlineStr">
        <is>
          <t xml:space="preserve">Win rate (won / closed)</t>
        </is>
      </c>
      <c r="K13" s="13">
        <f>IFERROR(COUNTIF(D2:D15,"Won")/(COUNTIF(D2:D15,"Won")+COUNTIF(D2:D15,"Lost")),0)</f>
        <v>0.75</v>
      </c>
    </row>
    <row r="14">
      <c r="G14" s="13" t="str">
        <f>IF(D14="","",_xlfn.XLOOKUP(D14,$J$2:$J$7,$K$2:$K$7,"Check stage"))</f>
        <v/>
      </c>
      <c r="H14" s="3">
        <f>IF(ISNUMBER(G14),IF(OR(D14="Won",D14="Lost"),0,ROUND(E14*G14,2)),0)</f>
        <v>0</v>
      </c>
      <c r="J14" t="inlineStr">
        <is>
          <t xml:space="preserve">Average won deal</t>
        </is>
      </c>
      <c r="K14" s="3">
        <f>IFERROR(AVERAGEIF(D2:D15,"Won",E2:E15),0)</f>
        <v>18733.3333333333</v>
      </c>
    </row>
    <row r="15">
      <c r="G15" s="13" t="str">
        <f>IF(D15="","",_xlfn.XLOOKUP(D15,$J$2:$J$7,$K$2:$K$7,"Check stage"))</f>
        <v/>
      </c>
      <c r="H15" s="3">
        <f>IF(ISNUMBER(G15),IF(OR(D15="Won",D15="Lost"),0,ROUND(E15*G15,2)),0)</f>
        <v>0</v>
      </c>
    </row>
    <row r="16">
      <c r="J16" s="2" t="inlineStr">
        <is>
          <t xml:space="preserve">Close month</t>
        </is>
      </c>
      <c r="K16" s="4" t="inlineStr">
        <is>
          <t xml:space="preserve">Weighted forecast</t>
        </is>
      </c>
    </row>
    <row r="17">
      <c r="J17" s="5">
        <v>46327</v>
      </c>
      <c r="K17" s="3">
        <f>SUMIFS($H$2:$H$15,$F$2:$F$15,"&gt;="&amp;J17,$F$2:$F$15,"&lt;"&amp;EDATE(J17,1))</f>
        <v>55875</v>
      </c>
    </row>
    <row r="18">
      <c r="J18" s="5">
        <f>EDATE(J17,1)</f>
        <v>46357</v>
      </c>
      <c r="K18" s="3">
        <f>SUMIFS($H$2:$H$15,$F$2:$F$15,"&gt;="&amp;J18,$F$2:$F$15,"&lt;"&amp;EDATE(J18,1))</f>
        <v>35300</v>
      </c>
    </row>
    <row r="19">
      <c r="J19" s="5">
        <f>EDATE(J18,1)</f>
        <v>46388</v>
      </c>
      <c r="K19" s="3">
        <f>SUMIFS($H$2:$H$15,$F$2:$F$15,"&gt;="&amp;J19,$F$2:$F$15,"&lt;"&amp;EDATE(J19,1))</f>
        <v>13900</v>
      </c>
    </row>
    <row r="21">
      <c r="J21" s="2" t="inlineStr">
        <is>
          <t xml:space="preserve">Rep</t>
        </is>
      </c>
      <c r="K21" s="4" t="inlineStr">
        <is>
          <t xml:space="preserve">Won</t>
        </is>
      </c>
      <c r="L21" s="4" t="inlineStr">
        <is>
          <t xml:space="preserve">Weighted open</t>
        </is>
      </c>
    </row>
    <row r="22">
      <c r="J22" t="inlineStr">
        <is>
          <t xml:space="preserve">Maya</t>
        </is>
      </c>
      <c r="K22" s="3">
        <f>SUMIFS($E$2:$E$15,$C$2:$C$15,J22,$D$2:$D$15,"Won")</f>
        <v>18500</v>
      </c>
      <c r="L22" s="3">
        <f>SUMIF($C$2:$C$15,J22,$H$2:$H$15)</f>
        <v>53250</v>
      </c>
    </row>
    <row r="23">
      <c r="J23" t="inlineStr">
        <is>
          <t xml:space="preserve">Luis</t>
        </is>
      </c>
      <c r="K23" s="3">
        <f>SUMIFS($E$2:$E$15,$C$2:$C$15,J23,$D$2:$D$15,"Won")</f>
        <v>21400</v>
      </c>
      <c r="L23" s="3">
        <f>SUMIF($C$2:$C$15,J23,$H$2:$H$15)</f>
        <v>21900</v>
      </c>
    </row>
    <row r="24">
      <c r="J24" t="inlineStr">
        <is>
          <t xml:space="preserve">Priya</t>
        </is>
      </c>
      <c r="K24" s="3">
        <f>SUMIFS($E$2:$E$15,$C$2:$C$15,J24,$D$2:$D$15,"Won")</f>
        <v>16300</v>
      </c>
      <c r="L24" s="3">
        <f>SUMIF($C$2:$C$15,J24,$H$2:$H$15)</f>
        <v>29925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sales pipeline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