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TO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30.7" customWidth="1"/>
    <col min="2" max="2" width="13.7" customWidth="1"/>
    <col min="3" max="3" width="10.7" customWidth="1"/>
    <col min="4" max="4" width="14.7" customWidth="1"/>
    <col min="5" max="5" width="11.7" customWidth="1"/>
    <col min="6" max="6" width="11.7" customWidth="1"/>
    <col min="7" max="7" width="11.7" customWidth="1"/>
    <col min="8" max="8" width="11.7" customWidth="1"/>
    <col min="9" max="9" width="10.7" customWidth="1"/>
    <col min="10" max="10" width="16.7" customWidth="1"/>
    <col min="11" max="11" width="3.7" customWidth="1"/>
    <col min="12" max="12" width="14.7" customWidth="1"/>
    <col min="13" max="13" width="18.7" customWidth="1"/>
  </cols>
  <sheetData>
    <row r="1">
      <c r="A1" s="2" t="inlineStr">
        <is>
          <t xml:space="preserve">PTO tracker</t>
        </is>
      </c>
    </row>
    <row r="2">
      <c r="A2" t="inlineStr">
        <is>
          <t xml:space="preserve">As of</t>
        </is>
      </c>
      <c r="B2" s="5">
        <v>46326</v>
      </c>
    </row>
    <row r="3">
      <c r="A3" t="inlineStr">
        <is>
          <t xml:space="preserve">Pay periods so far this year</t>
        </is>
      </c>
      <c r="B3" s="9">
        <v>22</v>
      </c>
    </row>
    <row r="4">
      <c r="A4" t="inlineStr">
        <is>
          <t xml:space="preserve">Hours in a workday</t>
        </is>
      </c>
      <c r="B4" s="9">
        <v>8</v>
      </c>
    </row>
    <row r="5">
      <c r="A5" t="inlineStr">
        <is>
          <t xml:space="preserve">Balance cap (hrs, 0 = none)</t>
        </is>
      </c>
      <c r="B5" s="9">
        <v>160</v>
      </c>
    </row>
    <row r="7">
      <c r="A7" s="2" t="inlineStr">
        <is>
          <t xml:space="preserve">Employee</t>
        </is>
      </c>
      <c r="B7" s="6" t="inlineStr">
        <is>
          <t xml:space="preserve">Hire date</t>
        </is>
      </c>
      <c r="C7" s="10" t="inlineStr">
        <is>
          <t xml:space="preserve">Years of service</t>
        </is>
      </c>
      <c r="D7" s="12" t="inlineStr">
        <is>
          <t xml:space="preserve">Accrual per pay period (hrs)</t>
        </is>
      </c>
      <c r="E7" s="12" t="inlineStr">
        <is>
          <t xml:space="preserve">Carryover (hrs)</t>
        </is>
      </c>
      <c r="F7" s="12" t="inlineStr">
        <is>
          <t xml:space="preserve">Accrued this year</t>
        </is>
      </c>
      <c r="G7" s="12" t="inlineStr">
        <is>
          <t xml:space="preserve">Used this year</t>
        </is>
      </c>
      <c r="H7" s="12" t="inlineStr">
        <is>
          <t xml:space="preserve">Balance (hrs)</t>
        </is>
      </c>
      <c r="I7" s="8" t="inlineStr">
        <is>
          <t xml:space="preserve">Balance (days)</t>
        </is>
      </c>
      <c r="J7" s="2" t="inlineStr">
        <is>
          <t xml:space="preserve">Note</t>
        </is>
      </c>
      <c r="L7" s="2" t="inlineStr">
        <is>
          <t xml:space="preserve">Years of service from</t>
        </is>
      </c>
      <c r="M7" s="12" t="inlineStr">
        <is>
          <t xml:space="preserve">Hours per pay period (your policy)</t>
        </is>
      </c>
    </row>
    <row r="8">
      <c r="A8" t="inlineStr">
        <is>
          <t xml:space="preserve">E-201</t>
        </is>
      </c>
      <c r="B8" s="5">
        <v>41715</v>
      </c>
      <c r="C8" s="9">
        <f>DATEDIF(B8,$B$2,"y")</f>
        <v>12</v>
      </c>
      <c r="D8" s="11">
        <f>VLOOKUP(C8,$L$8:$M$11,2,TRUE)</f>
        <v>7.69</v>
      </c>
      <c r="E8" s="11">
        <v>40</v>
      </c>
      <c r="F8" s="11">
        <f>ROUND(D8*MIN($B$3,INT(($B$2-B8)/14)),2)</f>
        <v>169.18</v>
      </c>
      <c r="G8" s="11">
        <v>96</v>
      </c>
      <c r="H8" s="11">
        <f>E8+F8-G8</f>
        <v>113.18</v>
      </c>
      <c r="I8" s="7">
        <f>ROUND(H8/$B$4,1)</f>
        <v>14.1</v>
      </c>
      <c r="J8" t="str">
        <f>IF(H8&lt;0,"Negative balance",IF(AND($B$5&gt;0,H8&gt;=$B$5),"At cap",""))</f>
        <v/>
      </c>
      <c r="L8">
        <v>0</v>
      </c>
      <c r="M8" s="11">
        <v>3.08</v>
      </c>
    </row>
    <row r="9">
      <c r="A9" t="inlineStr">
        <is>
          <t xml:space="preserve">E-202</t>
        </is>
      </c>
      <c r="B9" s="5">
        <v>43619</v>
      </c>
      <c r="C9" s="9">
        <f>DATEDIF(B9,$B$2,"y")</f>
        <v>7</v>
      </c>
      <c r="D9" s="11">
        <f>VLOOKUP(C9,$L$8:$M$11,2,TRUE)</f>
        <v>6.15</v>
      </c>
      <c r="E9" s="11">
        <v>24</v>
      </c>
      <c r="F9" s="11">
        <f>ROUND(D9*MIN($B$3,INT(($B$2-B9)/14)),2)</f>
        <v>135.3</v>
      </c>
      <c r="G9" s="11">
        <v>72</v>
      </c>
      <c r="H9" s="11">
        <f>E9+F9-G9</f>
        <v>87.3</v>
      </c>
      <c r="I9" s="7">
        <f>ROUND(H9/$B$4,1)</f>
        <v>10.9</v>
      </c>
      <c r="J9" t="str">
        <f>IF(H9&lt;0,"Negative balance",IF(AND($B$5&gt;0,H9&gt;=$B$5),"At cap",""))</f>
        <v/>
      </c>
      <c r="L9">
        <v>2</v>
      </c>
      <c r="M9" s="11">
        <v>4.62</v>
      </c>
    </row>
    <row r="10">
      <c r="A10" t="inlineStr">
        <is>
          <t xml:space="preserve">E-203</t>
        </is>
      </c>
      <c r="B10" s="5">
        <v>44816</v>
      </c>
      <c r="C10" s="9">
        <f>DATEDIF(B10,$B$2,"y")</f>
        <v>4</v>
      </c>
      <c r="D10" s="11">
        <f>VLOOKUP(C10,$L$8:$M$11,2,TRUE)</f>
        <v>4.62</v>
      </c>
      <c r="E10" s="11">
        <v>16</v>
      </c>
      <c r="F10" s="11">
        <f>ROUND(D10*MIN($B$3,INT(($B$2-B10)/14)),2)</f>
        <v>101.64</v>
      </c>
      <c r="G10" s="11">
        <v>40</v>
      </c>
      <c r="H10" s="11">
        <f>E10+F10-G10</f>
        <v>77.64</v>
      </c>
      <c r="I10" s="7">
        <f>ROUND(H10/$B$4,1)</f>
        <v>9.7</v>
      </c>
      <c r="J10" t="str">
        <f>IF(H10&lt;0,"Negative balance",IF(AND($B$5&gt;0,H10&gt;=$B$5),"At cap",""))</f>
        <v/>
      </c>
      <c r="L10">
        <v>5</v>
      </c>
      <c r="M10" s="11">
        <v>6.15</v>
      </c>
    </row>
    <row r="11">
      <c r="A11" t="inlineStr">
        <is>
          <t xml:space="preserve">E-204</t>
        </is>
      </c>
      <c r="B11" s="5">
        <v>45712</v>
      </c>
      <c r="C11" s="9">
        <f>DATEDIF(B11,$B$2,"y")</f>
        <v>1</v>
      </c>
      <c r="D11" s="11">
        <f>VLOOKUP(C11,$L$8:$M$11,2,TRUE)</f>
        <v>3.08</v>
      </c>
      <c r="E11" s="11">
        <v>0</v>
      </c>
      <c r="F11" s="11">
        <f>ROUND(D11*MIN($B$3,INT(($B$2-B11)/14)),2)</f>
        <v>67.76</v>
      </c>
      <c r="G11" s="11">
        <v>32</v>
      </c>
      <c r="H11" s="11">
        <f>E11+F11-G11</f>
        <v>35.76</v>
      </c>
      <c r="I11" s="7">
        <f>ROUND(H11/$B$4,1)</f>
        <v>4.5</v>
      </c>
      <c r="J11" t="str">
        <f>IF(H11&lt;0,"Negative balance",IF(AND($B$5&gt;0,H11&gt;=$B$5),"At cap",""))</f>
        <v/>
      </c>
      <c r="L11">
        <v>10</v>
      </c>
      <c r="M11" s="11">
        <v>7.69</v>
      </c>
    </row>
    <row r="12">
      <c r="A12" t="inlineStr">
        <is>
          <t xml:space="preserve">E-205</t>
        </is>
      </c>
      <c r="B12" s="5">
        <v>43045</v>
      </c>
      <c r="C12" s="9">
        <f>DATEDIF(B12,$B$2,"y")</f>
        <v>8</v>
      </c>
      <c r="D12" s="11">
        <f>VLOOKUP(C12,$L$8:$M$11,2,TRUE)</f>
        <v>6.15</v>
      </c>
      <c r="E12" s="11">
        <v>40</v>
      </c>
      <c r="F12" s="11">
        <f>ROUND(D12*MIN($B$3,INT(($B$2-B12)/14)),2)</f>
        <v>135.3</v>
      </c>
      <c r="G12" s="11">
        <v>120</v>
      </c>
      <c r="H12" s="11">
        <f>E12+F12-G12</f>
        <v>55.3</v>
      </c>
      <c r="I12" s="7">
        <f>ROUND(H12/$B$4,1)</f>
        <v>6.9</v>
      </c>
      <c r="J12" t="str">
        <f>IF(H12&lt;0,"Negative balance",IF(AND($B$5&gt;0,H12&gt;=$B$5),"At cap",""))</f>
        <v/>
      </c>
    </row>
    <row r="13">
      <c r="A13" t="inlineStr">
        <is>
          <t xml:space="preserve">E-206</t>
        </is>
      </c>
      <c r="B13" s="5">
        <v>45026</v>
      </c>
      <c r="C13" s="9">
        <f>DATEDIF(B13,$B$2,"y")</f>
        <v>3</v>
      </c>
      <c r="D13" s="11">
        <f>VLOOKUP(C13,$L$8:$M$11,2,TRUE)</f>
        <v>4.62</v>
      </c>
      <c r="E13" s="11">
        <v>8</v>
      </c>
      <c r="F13" s="11">
        <f>ROUND(D13*MIN($B$3,INT(($B$2-B13)/14)),2)</f>
        <v>101.64</v>
      </c>
      <c r="G13" s="11">
        <v>88</v>
      </c>
      <c r="H13" s="11">
        <f>E13+F13-G13</f>
        <v>21.64</v>
      </c>
      <c r="I13" s="7">
        <f>ROUND(H13/$B$4,1)</f>
        <v>2.7</v>
      </c>
      <c r="J13" t="str">
        <f>IF(H13&lt;0,"Negative balance",IF(AND($B$5&gt;0,H13&gt;=$B$5),"At cap",""))</f>
        <v/>
      </c>
    </row>
    <row r="14">
      <c r="A14" t="inlineStr">
        <is>
          <t xml:space="preserve">E-207</t>
        </is>
      </c>
      <c r="B14" s="5">
        <v>46083</v>
      </c>
      <c r="C14" s="9">
        <f>DATEDIF(B14,$B$2,"y")</f>
        <v>0</v>
      </c>
      <c r="D14" s="11">
        <f>VLOOKUP(C14,$L$8:$M$11,2,TRUE)</f>
        <v>3.08</v>
      </c>
      <c r="E14" s="11">
        <v>0</v>
      </c>
      <c r="F14" s="11">
        <f>ROUND(D14*MIN($B$3,INT(($B$2-B14)/14)),2)</f>
        <v>52.36</v>
      </c>
      <c r="G14" s="11">
        <v>60</v>
      </c>
      <c r="H14" s="11">
        <f>E14+F14-G14</f>
        <v>-7.64</v>
      </c>
      <c r="I14" s="7">
        <f>ROUND(H14/$B$4,1)</f>
        <v>-1</v>
      </c>
      <c r="J14" t="str">
        <f>IF(H14&lt;0,"Negative balance",IF(AND($B$5&gt;0,H14&gt;=$B$5),"At cap",""))</f>
        <v>Negative balance</v>
      </c>
    </row>
    <row r="15">
      <c r="A15" t="inlineStr">
        <is>
          <t xml:space="preserve">E-208</t>
        </is>
      </c>
      <c r="B15" s="5">
        <v>44060</v>
      </c>
      <c r="C15" s="9">
        <f>DATEDIF(B15,$B$2,"y")</f>
        <v>6</v>
      </c>
      <c r="D15" s="11">
        <f>VLOOKUP(C15,$L$8:$M$11,2,TRUE)</f>
        <v>6.15</v>
      </c>
      <c r="E15" s="11">
        <v>32</v>
      </c>
      <c r="F15" s="11">
        <f>ROUND(D15*MIN($B$3,INT(($B$2-B15)/14)),2)</f>
        <v>135.3</v>
      </c>
      <c r="G15" s="11">
        <v>56</v>
      </c>
      <c r="H15" s="11">
        <f>E15+F15-G15</f>
        <v>111.3</v>
      </c>
      <c r="I15" s="7">
        <f>ROUND(H15/$B$4,1)</f>
        <v>13.9</v>
      </c>
      <c r="J15" t="str">
        <f>IF(H15&lt;0,"Negative balance",IF(AND($B$5&gt;0,H15&gt;=$B$5),"At cap",""))</f>
        <v/>
      </c>
    </row>
    <row r="16">
      <c r="A16" t="inlineStr">
        <is>
          <t xml:space="preserve">E-209</t>
        </is>
      </c>
      <c r="B16" s="5">
        <v>40567</v>
      </c>
      <c r="C16" s="9">
        <f>DATEDIF(B16,$B$2,"y")</f>
        <v>15</v>
      </c>
      <c r="D16" s="11">
        <f>VLOOKUP(C16,$L$8:$M$11,2,TRUE)</f>
        <v>7.69</v>
      </c>
      <c r="E16" s="11">
        <v>40</v>
      </c>
      <c r="F16" s="11">
        <f>ROUND(D16*MIN($B$3,INT(($B$2-B16)/14)),2)</f>
        <v>169.18</v>
      </c>
      <c r="G16" s="11">
        <v>40</v>
      </c>
      <c r="H16" s="11">
        <f>E16+F16-G16</f>
        <v>169.18</v>
      </c>
      <c r="I16" s="7">
        <f>ROUND(H16/$B$4,1)</f>
        <v>21.1</v>
      </c>
      <c r="J16" t="str">
        <f>IF(H16&lt;0,"Negative balance",IF(AND($B$5&gt;0,H16&gt;=$B$5),"At cap",""))</f>
        <v>At cap</v>
      </c>
    </row>
    <row r="17">
      <c r="A17" t="inlineStr">
        <is>
          <t xml:space="preserve">E-210</t>
        </is>
      </c>
      <c r="B17" s="5">
        <v>45481</v>
      </c>
      <c r="C17" s="9">
        <f>DATEDIF(B17,$B$2,"y")</f>
        <v>2</v>
      </c>
      <c r="D17" s="11">
        <f>VLOOKUP(C17,$L$8:$M$11,2,TRUE)</f>
        <v>4.62</v>
      </c>
      <c r="E17" s="11">
        <v>12</v>
      </c>
      <c r="F17" s="11">
        <f>ROUND(D17*MIN($B$3,INT(($B$2-B17)/14)),2)</f>
        <v>101.64</v>
      </c>
      <c r="G17" s="11">
        <v>48</v>
      </c>
      <c r="H17" s="11">
        <f>E17+F17-G17</f>
        <v>65.64</v>
      </c>
      <c r="I17" s="7">
        <f>ROUND(H17/$B$4,1)</f>
        <v>8.2</v>
      </c>
      <c r="J17" t="str">
        <f>IF(H17&lt;0,"Negative balance",IF(AND($B$5&gt;0,H17&gt;=$B$5),"At cap",""))</f>
        <v/>
      </c>
    </row>
    <row r="19">
      <c r="A19" s="2" t="inlineStr">
        <is>
          <t xml:space="preserve">Total balance (hrs)</t>
        </is>
      </c>
      <c r="H19" s="12">
        <f>SUM(H8:H17)</f>
        <v>729.3</v>
      </c>
    </row>
    <row r="20">
      <c r="A20" t="inlineStr">
        <is>
          <t xml:space="preserve">Total balance (days)</t>
        </is>
      </c>
      <c r="H20" s="7">
        <f>ROUND(H19/B4,1)</f>
        <v>91.2</v>
      </c>
    </row>
    <row r="21">
      <c r="A21" t="inlineStr">
        <is>
          <t xml:space="preserve">Negative balances</t>
        </is>
      </c>
      <c r="H21" s="9">
        <f>COUNTIF(J8:J17,"Negative balance")</f>
        <v>1</v>
      </c>
    </row>
    <row r="22">
      <c r="A22" t="inlineStr">
        <is>
          <t xml:space="preserve">At or over the cap</t>
        </is>
      </c>
      <c r="H22" s="9">
        <f>COUNTIF(J8:J17,"At cap")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PTO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