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ember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RowHeight="15"/>
  <cols>
    <col min="1" max="1" width="24.7" customWidth="1"/>
    <col min="2" max="2" width="10.7" customWidth="1"/>
    <col min="3" max="3" width="14.7" customWidth="1"/>
    <col min="4" max="4" width="8.7" customWidth="1"/>
    <col min="5" max="5" width="12.7" customWidth="1"/>
    <col min="6" max="6" width="12.7" customWidth="1"/>
    <col min="7" max="7" width="13.7" customWidth="1"/>
    <col min="8" max="8" width="10.7" customWidth="1"/>
    <col min="9" max="9" width="17.7" customWidth="1"/>
  </cols>
  <sheetData>
    <row r="1">
      <c r="A1" s="2" t="inlineStr">
        <is>
          <t xml:space="preserve">Club membership and dues tracker, 2026-27 season</t>
        </is>
      </c>
    </row>
    <row r="2">
      <c r="A2" t="inlineStr">
        <is>
          <t xml:space="preserve">As-of date</t>
        </is>
      </c>
      <c r="B2" s="5">
        <v>46328</v>
      </c>
      <c r="E2" s="4" t="inlineStr">
        <is>
          <t xml:space="preserve">Member type</t>
        </is>
      </c>
      <c r="F2" s="4" t="inlineStr">
        <is>
          <t xml:space="preserve">Annual dues</t>
        </is>
      </c>
    </row>
    <row r="3">
      <c r="A3" t="inlineStr">
        <is>
          <t xml:space="preserve">Dues due by</t>
        </is>
      </c>
      <c r="B3" s="5">
        <v>46310</v>
      </c>
      <c r="E3" s="3" t="inlineStr">
        <is>
          <t xml:space="preserve">Adult</t>
        </is>
      </c>
      <c r="F3" s="3">
        <v>60</v>
      </c>
    </row>
    <row r="4">
      <c r="A4" t="inlineStr">
        <is>
          <t xml:space="preserve">Grace period (days)</t>
        </is>
      </c>
      <c r="B4" s="9">
        <v>14</v>
      </c>
      <c r="E4" s="3" t="inlineStr">
        <is>
          <t xml:space="preserve">Family</t>
        </is>
      </c>
      <c r="F4" s="3">
        <v>95</v>
      </c>
    </row>
    <row r="5">
      <c r="A5" t="inlineStr">
        <is>
          <t xml:space="preserve">Days past due date</t>
        </is>
      </c>
      <c r="B5" s="9">
        <f>MAX(0,B2-B3)</f>
        <v>18</v>
      </c>
      <c r="E5" s="3" t="inlineStr">
        <is>
          <t xml:space="preserve">Senior</t>
        </is>
      </c>
      <c r="F5" s="3">
        <v>40</v>
      </c>
    </row>
    <row r="6">
      <c r="E6" s="3" t="inlineStr">
        <is>
          <t xml:space="preserve">Student</t>
        </is>
      </c>
      <c r="F6" s="3">
        <v>25</v>
      </c>
    </row>
    <row r="8">
      <c r="A8" s="2" t="inlineStr">
        <is>
          <t xml:space="preserve">Member</t>
        </is>
      </c>
      <c r="B8" s="2" t="inlineStr">
        <is>
          <t xml:space="preserve">Type</t>
        </is>
      </c>
      <c r="C8" s="6" t="inlineStr">
        <is>
          <t xml:space="preserve">Member since</t>
        </is>
      </c>
      <c r="D8" s="10" t="inlineStr">
        <is>
          <t xml:space="preserve">Years</t>
        </is>
      </c>
      <c r="E8" s="4" t="inlineStr">
        <is>
          <t xml:space="preserve">Dues</t>
        </is>
      </c>
      <c r="F8" s="4" t="inlineStr">
        <is>
          <t xml:space="preserve">Paid</t>
        </is>
      </c>
      <c r="G8" s="6" t="inlineStr">
        <is>
          <t xml:space="preserve">Paid on</t>
        </is>
      </c>
      <c r="H8" s="4" t="inlineStr">
        <is>
          <t xml:space="preserve">Balance</t>
        </is>
      </c>
      <c r="I8" s="2" t="inlineStr">
        <is>
          <t xml:space="preserve">Status</t>
        </is>
      </c>
    </row>
    <row r="9">
      <c r="A9" t="inlineStr">
        <is>
          <t xml:space="preserve">Alice Moreno</t>
        </is>
      </c>
      <c r="B9" t="inlineStr">
        <is>
          <t xml:space="preserve">Adult</t>
        </is>
      </c>
      <c r="C9" s="5">
        <v>43538</v>
      </c>
      <c r="D9" s="9">
        <f>DATEDIF(C9,$B$2,"y")</f>
        <v>7</v>
      </c>
      <c r="E9" s="3">
        <f>IFERROR(VLOOKUP(B9,$E$3:$F$6,2,FALSE),0)</f>
        <v>60</v>
      </c>
      <c r="F9" s="3">
        <v>60</v>
      </c>
      <c r="G9" s="5">
        <v>46293</v>
      </c>
      <c r="H9" s="3">
        <f>E9-F9</f>
        <v>0</v>
      </c>
      <c r="I9" t="str">
        <f>IF(H9&lt;=0,"Paid",IF($B$5&gt;$B$4,IF(F9&gt;0,"Partial, overdue","Overdue"),IF(F9&gt;0,"Partial","Unpaid")))</f>
        <v>Paid</v>
      </c>
    </row>
    <row r="10">
      <c r="A10" t="inlineStr">
        <is>
          <t xml:space="preserve">Brian Hughes</t>
        </is>
      </c>
      <c r="B10" t="inlineStr">
        <is>
          <t xml:space="preserve">Family</t>
        </is>
      </c>
      <c r="C10" s="5">
        <v>44349</v>
      </c>
      <c r="D10" s="9">
        <f>DATEDIF(C10,$B$2,"y")</f>
        <v>5</v>
      </c>
      <c r="E10" s="3">
        <f>IFERROR(VLOOKUP(B10,$E$3:$F$6,2,FALSE),0)</f>
        <v>95</v>
      </c>
      <c r="F10" s="3">
        <v>95</v>
      </c>
      <c r="G10" s="5">
        <v>46297</v>
      </c>
      <c r="H10" s="3">
        <f>E10-F10</f>
        <v>0</v>
      </c>
      <c r="I10" t="str">
        <f>IF(H10&lt;=0,"Paid",IF($B$5&gt;$B$4,IF(F10&gt;0,"Partial, overdue","Overdue"),IF(F10&gt;0,"Partial","Unpaid")))</f>
        <v>Paid</v>
      </c>
    </row>
    <row r="11">
      <c r="A11" t="inlineStr">
        <is>
          <t xml:space="preserve">Carmen Lee</t>
        </is>
      </c>
      <c r="B11" t="inlineStr">
        <is>
          <t xml:space="preserve">Senior</t>
        </is>
      </c>
      <c r="C11" s="5">
        <v>42024</v>
      </c>
      <c r="D11" s="9">
        <f>DATEDIF(C11,$B$2,"y")</f>
        <v>11</v>
      </c>
      <c r="E11" s="3">
        <f>IFERROR(VLOOKUP(B11,$E$3:$F$6,2,FALSE),0)</f>
        <v>40</v>
      </c>
      <c r="F11" s="3">
        <v>40</v>
      </c>
      <c r="G11" s="5">
        <v>46295</v>
      </c>
      <c r="H11" s="3">
        <f>E11-F11</f>
        <v>0</v>
      </c>
      <c r="I11" t="str">
        <f>IF(H11&lt;=0,"Paid",IF($B$5&gt;$B$4,IF(F11&gt;0,"Partial, overdue","Overdue"),IF(F11&gt;0,"Partial","Unpaid")))</f>
        <v>Paid</v>
      </c>
    </row>
    <row r="12">
      <c r="A12" t="inlineStr">
        <is>
          <t xml:space="preserve">David Novak</t>
        </is>
      </c>
      <c r="B12" t="inlineStr">
        <is>
          <t xml:space="preserve">Adult</t>
        </is>
      </c>
      <c r="C12" s="5">
        <v>45545</v>
      </c>
      <c r="D12" s="9">
        <f>DATEDIF(C12,$B$2,"y")</f>
        <v>2</v>
      </c>
      <c r="E12" s="3">
        <f>IFERROR(VLOOKUP(B12,$E$3:$F$6,2,FALSE),0)</f>
        <v>60</v>
      </c>
      <c r="F12" s="3">
        <v>30</v>
      </c>
      <c r="G12" s="5">
        <v>46307</v>
      </c>
      <c r="H12" s="3">
        <f>E12-F12</f>
        <v>30</v>
      </c>
      <c r="I12" t="str">
        <f>IF(H12&lt;=0,"Paid",IF($B$5&gt;$B$4,IF(F12&gt;0,"Partial, overdue","Overdue"),IF(F12&gt;0,"Partial","Unpaid")))</f>
        <v>Partial, overdue</v>
      </c>
    </row>
    <row r="13">
      <c r="A13" t="inlineStr">
        <is>
          <t xml:space="preserve">Erin Walsh</t>
        </is>
      </c>
      <c r="B13" t="inlineStr">
        <is>
          <t xml:space="preserve">Student</t>
        </is>
      </c>
      <c r="C13" s="5">
        <v>45905</v>
      </c>
      <c r="D13" s="9">
        <f>DATEDIF(C13,$B$2,"y")</f>
        <v>1</v>
      </c>
      <c r="E13" s="3">
        <f>IFERROR(VLOOKUP(B13,$E$3:$F$6,2,FALSE),0)</f>
        <v>25</v>
      </c>
      <c r="F13" s="3">
        <v>0</v>
      </c>
      <c r="H13" s="3">
        <f>E13-F13</f>
        <v>25</v>
      </c>
      <c r="I13" t="str">
        <f>IF(H13&lt;=0,"Paid",IF($B$5&gt;$B$4,IF(F13&gt;0,"Partial, overdue","Overdue"),IF(F13&gt;0,"Partial","Unpaid")))</f>
        <v>Overdue</v>
      </c>
    </row>
    <row r="14">
      <c r="A14" t="inlineStr">
        <is>
          <t xml:space="preserve">Frank Osei</t>
        </is>
      </c>
      <c r="B14" t="inlineStr">
        <is>
          <t xml:space="preserve">Adult</t>
        </is>
      </c>
      <c r="C14" s="5">
        <v>43212</v>
      </c>
      <c r="D14" s="9">
        <f>DATEDIF(C14,$B$2,"y")</f>
        <v>8</v>
      </c>
      <c r="E14" s="3">
        <f>IFERROR(VLOOKUP(B14,$E$3:$F$6,2,FALSE),0)</f>
        <v>60</v>
      </c>
      <c r="F14" s="3">
        <v>60</v>
      </c>
      <c r="G14" s="5">
        <v>46309</v>
      </c>
      <c r="H14" s="3">
        <f>E14-F14</f>
        <v>0</v>
      </c>
      <c r="I14" t="str">
        <f>IF(H14&lt;=0,"Paid",IF($B$5&gt;$B$4,IF(F14&gt;0,"Partial, overdue","Overdue"),IF(F14&gt;0,"Partial","Unpaid")))</f>
        <v>Paid</v>
      </c>
    </row>
    <row r="15">
      <c r="A15" t="inlineStr">
        <is>
          <t xml:space="preserve">Gina Russo</t>
        </is>
      </c>
      <c r="B15" t="inlineStr">
        <is>
          <t xml:space="preserve">Family</t>
        </is>
      </c>
      <c r="C15" s="5">
        <v>43872</v>
      </c>
      <c r="D15" s="9">
        <f>DATEDIF(C15,$B$2,"y")</f>
        <v>6</v>
      </c>
      <c r="E15" s="3">
        <f>IFERROR(VLOOKUP(B15,$E$3:$F$6,2,FALSE),0)</f>
        <v>95</v>
      </c>
      <c r="F15" s="3">
        <v>95</v>
      </c>
      <c r="G15" s="5">
        <v>46300</v>
      </c>
      <c r="H15" s="3">
        <f>E15-F15</f>
        <v>0</v>
      </c>
      <c r="I15" t="str">
        <f>IF(H15&lt;=0,"Paid",IF($B$5&gt;$B$4,IF(F15&gt;0,"Partial, overdue","Overdue"),IF(F15&gt;0,"Partial","Unpaid")))</f>
        <v>Paid</v>
      </c>
    </row>
    <row r="16">
      <c r="A16" t="inlineStr">
        <is>
          <t xml:space="preserve">Hector Ruiz</t>
        </is>
      </c>
      <c r="B16" t="inlineStr">
        <is>
          <t xml:space="preserve">Senior</t>
        </is>
      </c>
      <c r="C16" s="5">
        <v>41243</v>
      </c>
      <c r="D16" s="9">
        <f>DATEDIF(C16,$B$2,"y")</f>
        <v>13</v>
      </c>
      <c r="E16" s="3">
        <f>IFERROR(VLOOKUP(B16,$E$3:$F$6,2,FALSE),0)</f>
        <v>40</v>
      </c>
      <c r="F16" s="3">
        <v>0</v>
      </c>
      <c r="H16" s="3">
        <f>E16-F16</f>
        <v>40</v>
      </c>
      <c r="I16" t="str">
        <f>IF(H16&lt;=0,"Paid",IF($B$5&gt;$B$4,IF(F16&gt;0,"Partial, overdue","Overdue"),IF(F16&gt;0,"Partial","Unpaid")))</f>
        <v>Overdue</v>
      </c>
    </row>
    <row r="17">
      <c r="A17" t="inlineStr">
        <is>
          <t xml:space="preserve">Ines Duarte</t>
        </is>
      </c>
      <c r="B17" t="inlineStr">
        <is>
          <t xml:space="preserve">Student</t>
        </is>
      </c>
      <c r="C17" s="5">
        <v>46037</v>
      </c>
      <c r="D17" s="9">
        <f>DATEDIF(C17,$B$2,"y")</f>
        <v>0</v>
      </c>
      <c r="E17" s="3">
        <f>IFERROR(VLOOKUP(B17,$E$3:$F$6,2,FALSE),0)</f>
        <v>25</v>
      </c>
      <c r="F17" s="3">
        <v>25</v>
      </c>
      <c r="G17" s="5">
        <v>46296</v>
      </c>
      <c r="H17" s="3">
        <f>E17-F17</f>
        <v>0</v>
      </c>
      <c r="I17" t="str">
        <f>IF(H17&lt;=0,"Paid",IF($B$5&gt;$B$4,IF(F17&gt;0,"Partial, overdue","Overdue"),IF(F17&gt;0,"Partial","Unpaid")))</f>
        <v>Paid</v>
      </c>
    </row>
    <row r="18">
      <c r="A18" t="inlineStr">
        <is>
          <t xml:space="preserve">James Patel</t>
        </is>
      </c>
      <c r="B18" t="inlineStr">
        <is>
          <t xml:space="preserve">Adult</t>
        </is>
      </c>
      <c r="C18" s="5">
        <v>45054</v>
      </c>
      <c r="D18" s="9">
        <f>DATEDIF(C18,$B$2,"y")</f>
        <v>3</v>
      </c>
      <c r="E18" s="3">
        <f>IFERROR(VLOOKUP(B18,$E$3:$F$6,2,FALSE),0)</f>
        <v>60</v>
      </c>
      <c r="F18" s="3">
        <v>0</v>
      </c>
      <c r="H18" s="3">
        <f>E18-F18</f>
        <v>60</v>
      </c>
      <c r="I18" t="str">
        <f>IF(H18&lt;=0,"Paid",IF($B$5&gt;$B$4,IF(F18&gt;0,"Partial, overdue","Overdue"),IF(F18&gt;0,"Partial","Unpaid")))</f>
        <v>Overdue</v>
      </c>
    </row>
    <row r="19">
      <c r="A19" t="inlineStr">
        <is>
          <t xml:space="preserve">Kara Bennett</t>
        </is>
      </c>
      <c r="B19" t="inlineStr">
        <is>
          <t xml:space="preserve">Family</t>
        </is>
      </c>
      <c r="C19" s="5">
        <v>42966</v>
      </c>
      <c r="D19" s="9">
        <f>DATEDIF(C19,$B$2,"y")</f>
        <v>9</v>
      </c>
      <c r="E19" s="3">
        <f>IFERROR(VLOOKUP(B19,$E$3:$F$6,2,FALSE),0)</f>
        <v>95</v>
      </c>
      <c r="F19" s="3">
        <v>50</v>
      </c>
      <c r="G19" s="5">
        <v>46315</v>
      </c>
      <c r="H19" s="3">
        <f>E19-F19</f>
        <v>45</v>
      </c>
      <c r="I19" t="str">
        <f>IF(H19&lt;=0,"Paid",IF($B$5&gt;$B$4,IF(F19&gt;0,"Partial, overdue","Overdue"),IF(F19&gt;0,"Partial","Unpaid")))</f>
        <v>Partial, overdue</v>
      </c>
    </row>
    <row r="20">
      <c r="A20" t="inlineStr">
        <is>
          <t xml:space="preserve">Luis Ortega</t>
        </is>
      </c>
      <c r="B20" t="inlineStr">
        <is>
          <t xml:space="preserve">Adult</t>
        </is>
      </c>
      <c r="C20" s="5">
        <v>44835</v>
      </c>
      <c r="D20" s="9">
        <f>DATEDIF(C20,$B$2,"y")</f>
        <v>4</v>
      </c>
      <c r="E20" s="3">
        <f>IFERROR(VLOOKUP(B20,$E$3:$F$6,2,FALSE),0)</f>
        <v>60</v>
      </c>
      <c r="F20" s="3">
        <v>60</v>
      </c>
      <c r="G20" s="5">
        <v>46304</v>
      </c>
      <c r="H20" s="3">
        <f>E20-F20</f>
        <v>0</v>
      </c>
      <c r="I20" t="str">
        <f>IF(H20&lt;=0,"Paid",IF($B$5&gt;$B$4,IF(F20&gt;0,"Partial, overdue","Overdue"),IF(F20&gt;0,"Partial","Unpaid")))</f>
        <v>Paid</v>
      </c>
    </row>
    <row r="21">
      <c r="A21" t="inlineStr">
        <is>
          <t xml:space="preserve">Mona Fischer</t>
        </is>
      </c>
      <c r="B21" t="inlineStr">
        <is>
          <t xml:space="preserve">Senior</t>
        </is>
      </c>
      <c r="C21" s="5">
        <v>42432</v>
      </c>
      <c r="D21" s="9">
        <f>DATEDIF(C21,$B$2,"y")</f>
        <v>10</v>
      </c>
      <c r="E21" s="3">
        <f>IFERROR(VLOOKUP(B21,$E$3:$F$6,2,FALSE),0)</f>
        <v>40</v>
      </c>
      <c r="F21" s="3">
        <v>40</v>
      </c>
      <c r="G21" s="5">
        <v>46306</v>
      </c>
      <c r="H21" s="3">
        <f>E21-F21</f>
        <v>0</v>
      </c>
      <c r="I21" t="str">
        <f>IF(H21&lt;=0,"Paid",IF($B$5&gt;$B$4,IF(F21&gt;0,"Partial, overdue","Overdue"),IF(F21&gt;0,"Partial","Unpaid")))</f>
        <v>Paid</v>
      </c>
    </row>
    <row r="22">
      <c r="A22" t="inlineStr">
        <is>
          <t xml:space="preserve">Nate Coleman</t>
        </is>
      </c>
      <c r="B22" t="inlineStr">
        <is>
          <t xml:space="preserve">Student</t>
        </is>
      </c>
      <c r="C22" s="5">
        <v>46277</v>
      </c>
      <c r="D22" s="9">
        <f>DATEDIF(C22,$B$2,"y")</f>
        <v>0</v>
      </c>
      <c r="E22" s="3">
        <f>IFERROR(VLOOKUP(B22,$E$3:$F$6,2,FALSE),0)</f>
        <v>25</v>
      </c>
      <c r="F22" s="3">
        <v>25</v>
      </c>
      <c r="G22" s="5">
        <v>46277</v>
      </c>
      <c r="H22" s="3">
        <f>E22-F22</f>
        <v>0</v>
      </c>
      <c r="I22" t="str">
        <f>IF(H22&lt;=0,"Paid",IF($B$5&gt;$B$4,IF(F22&gt;0,"Partial, overdue","Overdue"),IF(F22&gt;0,"Partial","Unpaid")))</f>
        <v>Paid</v>
      </c>
    </row>
    <row r="23">
      <c r="A23" t="inlineStr">
        <is>
          <t xml:space="preserve">Olga Ivanova</t>
        </is>
      </c>
      <c r="B23" t="inlineStr">
        <is>
          <t xml:space="preserve">Adult</t>
        </is>
      </c>
      <c r="C23" s="5">
        <v>41847</v>
      </c>
      <c r="D23" s="9">
        <f>DATEDIF(C23,$B$2,"y")</f>
        <v>12</v>
      </c>
      <c r="E23" s="3">
        <f>IFERROR(VLOOKUP(B23,$E$3:$F$6,2,FALSE),0)</f>
        <v>60</v>
      </c>
      <c r="F23" s="3">
        <v>60</v>
      </c>
      <c r="G23" s="5">
        <v>46298</v>
      </c>
      <c r="H23" s="3">
        <f>E23-F23</f>
        <v>0</v>
      </c>
      <c r="I23" t="str">
        <f>IF(H23&lt;=0,"Paid",IF($B$5&gt;$B$4,IF(F23&gt;0,"Partial, overdue","Overdue"),IF(F23&gt;0,"Partial","Unpaid")))</f>
        <v>Paid</v>
      </c>
    </row>
    <row r="24">
      <c r="A24" t="inlineStr">
        <is>
          <t xml:space="preserve">Paul Grant</t>
        </is>
      </c>
      <c r="B24" t="inlineStr">
        <is>
          <t xml:space="preserve">Family</t>
        </is>
      </c>
      <c r="C24" s="5">
        <v>45763</v>
      </c>
      <c r="D24" s="9">
        <f>DATEDIF(C24,$B$2,"y")</f>
        <v>1</v>
      </c>
      <c r="E24" s="3">
        <f>IFERROR(VLOOKUP(B24,$E$3:$F$6,2,FALSE),0)</f>
        <v>95</v>
      </c>
      <c r="F24" s="3">
        <v>0</v>
      </c>
      <c r="H24" s="3">
        <f>E24-F24</f>
        <v>95</v>
      </c>
      <c r="I24" t="str">
        <f>IF(H24&lt;=0,"Paid",IF($B$5&gt;$B$4,IF(F24&gt;0,"Partial, overdue","Overdue"),IF(F24&gt;0,"Partial","Unpaid")))</f>
        <v>Overdue</v>
      </c>
    </row>
    <row r="25">
      <c r="A25" t="inlineStr">
        <is>
          <t xml:space="preserve">Quinn Avery</t>
        </is>
      </c>
      <c r="B25" t="inlineStr">
        <is>
          <t xml:space="preserve">Adult</t>
        </is>
      </c>
      <c r="C25" s="5">
        <v>44539</v>
      </c>
      <c r="D25" s="9">
        <f>DATEDIF(C25,$B$2,"y")</f>
        <v>4</v>
      </c>
      <c r="E25" s="3">
        <f>IFERROR(VLOOKUP(B25,$E$3:$F$6,2,FALSE),0)</f>
        <v>60</v>
      </c>
      <c r="F25" s="3">
        <v>60</v>
      </c>
      <c r="G25" s="5">
        <v>46310</v>
      </c>
      <c r="H25" s="3">
        <f>E25-F25</f>
        <v>0</v>
      </c>
      <c r="I25" t="str">
        <f>IF(H25&lt;=0,"Paid",IF($B$5&gt;$B$4,IF(F25&gt;0,"Partial, overdue","Overdue"),IF(F25&gt;0,"Partial","Unpaid")))</f>
        <v>Paid</v>
      </c>
    </row>
    <row r="26">
      <c r="A26" t="inlineStr">
        <is>
          <t xml:space="preserve">Rosa Jimenez</t>
        </is>
      </c>
      <c r="B26" t="inlineStr">
        <is>
          <t xml:space="preserve">Senior</t>
        </is>
      </c>
      <c r="C26" s="5">
        <v>43606</v>
      </c>
      <c r="D26" s="9">
        <f>DATEDIF(C26,$B$2,"y")</f>
        <v>7</v>
      </c>
      <c r="E26" s="3">
        <f>IFERROR(VLOOKUP(B26,$E$3:$F$6,2,FALSE),0)</f>
        <v>40</v>
      </c>
      <c r="F26" s="3">
        <v>20</v>
      </c>
      <c r="G26" s="5">
        <v>46325</v>
      </c>
      <c r="H26" s="3">
        <f>E26-F26</f>
        <v>20</v>
      </c>
      <c r="I26" t="str">
        <f>IF(H26&lt;=0,"Paid",IF($B$5&gt;$B$4,IF(F26&gt;0,"Partial, overdue","Overdue"),IF(F26&gt;0,"Partial","Unpaid")))</f>
        <v>Partial, overdue</v>
      </c>
    </row>
    <row r="27">
      <c r="A27" s="2" t="inlineStr">
        <is>
          <t xml:space="preserve">Total</t>
        </is>
      </c>
      <c r="E27" s="4">
        <f>SUM(E9:E26)</f>
        <v>1035</v>
      </c>
      <c r="F27" s="4">
        <f>SUM(F9:F26)</f>
        <v>720</v>
      </c>
      <c r="H27" s="4">
        <f>SUM(H9:H26)</f>
        <v>315</v>
      </c>
    </row>
    <row r="29">
      <c r="A29" s="2" t="inlineStr">
        <is>
          <t xml:space="preserve">Member type</t>
        </is>
      </c>
      <c r="B29" s="2" t="inlineStr">
        <is>
          <t xml:space="preserve">Members</t>
        </is>
      </c>
      <c r="C29" s="6" t="inlineStr">
        <is>
          <t xml:space="preserve">Dues expected</t>
        </is>
      </c>
      <c r="D29" s="10" t="inlineStr">
        <is>
          <t xml:space="preserve">Collected</t>
        </is>
      </c>
      <c r="E29" s="4" t="inlineStr">
        <is>
          <t xml:space="preserve">Outstanding</t>
        </is>
      </c>
    </row>
    <row r="30">
      <c r="A30" t="inlineStr">
        <is>
          <t xml:space="preserve">Adult</t>
        </is>
      </c>
      <c r="B30" s="9">
        <f>COUNTIF($B$9:$B$26,A30)</f>
        <v>7</v>
      </c>
      <c r="C30" s="3">
        <f>SUMIF($B$9:$B$26,A30,$E$9:$E$26)</f>
        <v>420</v>
      </c>
      <c r="D30" s="9">
        <f>SUMIF($B$9:$B$26,A30,$F$9:$F$26)</f>
        <v>330</v>
      </c>
      <c r="E30" s="3">
        <f>C30-D30</f>
        <v>90</v>
      </c>
    </row>
    <row r="31">
      <c r="A31" t="inlineStr">
        <is>
          <t xml:space="preserve">Family</t>
        </is>
      </c>
      <c r="B31" s="9">
        <f>COUNTIF($B$9:$B$26,A31)</f>
        <v>4</v>
      </c>
      <c r="C31" s="3">
        <f>SUMIF($B$9:$B$26,A31,$E$9:$E$26)</f>
        <v>380</v>
      </c>
      <c r="D31" s="9">
        <f>SUMIF($B$9:$B$26,A31,$F$9:$F$26)</f>
        <v>240</v>
      </c>
      <c r="E31" s="3">
        <f>C31-D31</f>
        <v>140</v>
      </c>
    </row>
    <row r="32">
      <c r="A32" t="inlineStr">
        <is>
          <t xml:space="preserve">Senior</t>
        </is>
      </c>
      <c r="B32" s="9">
        <f>COUNTIF($B$9:$B$26,A32)</f>
        <v>4</v>
      </c>
      <c r="C32" s="3">
        <f>SUMIF($B$9:$B$26,A32,$E$9:$E$26)</f>
        <v>160</v>
      </c>
      <c r="D32" s="9">
        <f>SUMIF($B$9:$B$26,A32,$F$9:$F$26)</f>
        <v>100</v>
      </c>
      <c r="E32" s="3">
        <f>C32-D32</f>
        <v>60</v>
      </c>
    </row>
    <row r="33">
      <c r="A33" t="inlineStr">
        <is>
          <t xml:space="preserve">Student</t>
        </is>
      </c>
      <c r="B33" s="9">
        <f>COUNTIF($B$9:$B$26,A33)</f>
        <v>3</v>
      </c>
      <c r="C33" s="3">
        <f>SUMIF($B$9:$B$26,A33,$E$9:$E$26)</f>
        <v>75</v>
      </c>
      <c r="D33" s="9">
        <f>SUMIF($B$9:$B$26,A33,$F$9:$F$26)</f>
        <v>50</v>
      </c>
      <c r="E33" s="3">
        <f>C33-D33</f>
        <v>25</v>
      </c>
    </row>
    <row r="35">
      <c r="A35" t="inlineStr">
        <is>
          <t xml:space="preserve">Collection rate</t>
        </is>
      </c>
      <c r="C35" s="13">
        <f>IF(E27&gt;0,F27/E27,0)</f>
        <v>0.695652173913043</v>
      </c>
    </row>
    <row r="36">
      <c r="A36" t="inlineStr">
        <is>
          <t xml:space="preserve">Fully paid members</t>
        </is>
      </c>
      <c r="C36" s="9">
        <f>COUNTIF(I9:I26,"Paid")</f>
        <v>11</v>
      </c>
    </row>
    <row r="37">
      <c r="A37" t="inlineStr">
        <is>
          <t xml:space="preserve">Members to chase</t>
        </is>
      </c>
      <c r="C37" s="9">
        <f>COUNTIF(I9:I26,"*overdue")</f>
        <v>7</v>
      </c>
    </row>
    <row r="38">
      <c r="A38" t="inlineStr">
        <is>
          <t xml:space="preserve">Members 5+ years</t>
        </is>
      </c>
      <c r="C38" s="9">
        <f>COUNTIF(D9:D26,"&gt;=5")</f>
        <v>10</v>
      </c>
    </row>
    <row r="39">
      <c r="A39" t="inlineStr">
        <is>
          <t xml:space="preserve">Paid after the due date</t>
        </is>
      </c>
      <c r="C39" s="9">
        <f>COUNTIFS(G9:G26,"&gt;"&amp;DATE(2026,10,15))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club membership and dues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