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36.7" customWidth="1"/>
    <col min="2" max="2" width="14.7" customWidth="1"/>
    <col min="3" max="3" width="8.7" customWidth="1"/>
    <col min="4" max="4" width="12.7" customWidth="1"/>
    <col min="5" max="5" width="24.7" customWidth="1"/>
    <col min="6" max="6" width="12.7" customWidth="1"/>
    <col min="7" max="7" width="13.7" customWidth="1"/>
  </cols>
  <sheetData>
    <row r="1">
      <c r="A1" s="2" t="inlineStr">
        <is>
          <t xml:space="preserve">Repair estimate</t>
        </is>
      </c>
    </row>
    <row r="2">
      <c r="A2" t="inlineStr">
        <is>
          <t xml:space="preserve">Customer</t>
        </is>
      </c>
      <c r="B2" t="inlineStr">
        <is>
          <t xml:space="preserve">Jordan K.</t>
        </is>
      </c>
      <c r="E2" s="7" t="inlineStr">
        <is>
          <t xml:space="preserve">Labor rate</t>
        </is>
      </c>
      <c r="G2" s="3">
        <v>145</v>
      </c>
    </row>
    <row r="3">
      <c r="A3" t="inlineStr">
        <is>
          <t xml:space="preserve">Vehicle</t>
        </is>
      </c>
      <c r="B3" t="inlineStr">
        <is>
          <t xml:space="preserve">2017 compact SUV, 98,400 miles</t>
        </is>
      </c>
      <c r="E3" s="7" t="inlineStr">
        <is>
          <t xml:space="preserve">Shop supplies % of labor</t>
        </is>
      </c>
      <c r="G3" s="13">
        <v>0.08</v>
      </c>
    </row>
    <row r="4">
      <c r="A4" t="inlineStr">
        <is>
          <t xml:space="preserve">Estimate date</t>
        </is>
      </c>
      <c r="B4" s="5">
        <v>46328</v>
      </c>
      <c r="E4" s="7" t="inlineStr">
        <is>
          <t xml:space="preserve">Shop supplies cap</t>
        </is>
      </c>
      <c r="G4" s="3">
        <v>40</v>
      </c>
    </row>
    <row r="5">
      <c r="E5" s="7" t="inlineStr">
        <is>
          <t xml:space="preserve">Sales tax rate on parts</t>
        </is>
      </c>
      <c r="G5" s="15">
        <v>0.07</v>
      </c>
    </row>
    <row r="7">
      <c r="A7" s="2" t="inlineStr">
        <is>
          <t xml:space="preserve">Labor operation</t>
        </is>
      </c>
      <c r="E7" s="8" t="inlineStr">
        <is>
          <t xml:space="preserve">Hours</t>
        </is>
      </c>
      <c r="F7" s="4" t="inlineStr">
        <is>
          <t xml:space="preserve">Rate</t>
        </is>
      </c>
      <c r="G7" s="4" t="inlineStr">
        <is>
          <t xml:space="preserve">Labor</t>
        </is>
      </c>
    </row>
    <row r="8">
      <c r="A8" t="inlineStr">
        <is>
          <t xml:space="preserve">Replace front brake pads and rotors</t>
        </is>
      </c>
      <c r="E8" s="7">
        <v>1.8</v>
      </c>
      <c r="F8" s="3">
        <f>IF(E8="","",$G$2)</f>
        <v>145</v>
      </c>
      <c r="G8" s="3">
        <f>IF(E8="","",ROUND(E8*F8,2))</f>
        <v>261</v>
      </c>
    </row>
    <row r="9">
      <c r="A9" t="inlineStr">
        <is>
          <t xml:space="preserve">Replace rear brake pads</t>
        </is>
      </c>
      <c r="E9" s="7">
        <v>1.2</v>
      </c>
      <c r="F9" s="3">
        <f>IF(E9="","",$G$2)</f>
        <v>145</v>
      </c>
      <c r="G9" s="3">
        <f>IF(E9="","",ROUND(E9*F9,2))</f>
        <v>174</v>
      </c>
    </row>
    <row r="10">
      <c r="A10" t="inlineStr">
        <is>
          <t xml:space="preserve">Flush and fill brake fluid</t>
        </is>
      </c>
      <c r="E10" s="7">
        <v>0.8</v>
      </c>
      <c r="F10" s="3">
        <f>IF(E10="","",$G$2)</f>
        <v>145</v>
      </c>
      <c r="G10" s="3">
        <f>IF(E10="","",ROUND(E10*F10,2))</f>
        <v>116</v>
      </c>
    </row>
    <row r="11">
      <c r="A11" t="inlineStr">
        <is>
          <t xml:space="preserve">Diagnose ABS warning light</t>
        </is>
      </c>
      <c r="E11" s="7">
        <v>1</v>
      </c>
      <c r="F11" s="3">
        <f>IF(E11="","",$G$2)</f>
        <v>145</v>
      </c>
      <c r="G11" s="3">
        <f>IF(E11="","",ROUND(E11*F11,2))</f>
        <v>145</v>
      </c>
    </row>
    <row r="12">
      <c r="F12" s="3" t="str">
        <f>IF(E12="","",$G$2)</f>
        <v/>
      </c>
      <c r="G12" s="3" t="str">
        <f>IF(E12="","",ROUND(E12*F12,2))</f>
        <v/>
      </c>
    </row>
    <row r="13">
      <c r="A13" s="2" t="inlineStr">
        <is>
          <t xml:space="preserve">Labor total</t>
        </is>
      </c>
      <c r="G13" s="4">
        <f>SUM(G8:G12)</f>
        <v>696</v>
      </c>
    </row>
    <row r="15">
      <c r="A15" s="2" t="inlineStr">
        <is>
          <t xml:space="preserve">Part</t>
        </is>
      </c>
      <c r="C15" s="10" t="inlineStr">
        <is>
          <t xml:space="preserve">Qty</t>
        </is>
      </c>
      <c r="D15" s="4" t="inlineStr">
        <is>
          <t xml:space="preserve">Unit cost</t>
        </is>
      </c>
      <c r="E15" s="10" t="inlineStr">
        <is>
          <t xml:space="preserve">Markup</t>
        </is>
      </c>
      <c r="F15" s="4" t="inlineStr">
        <is>
          <t xml:space="preserve">Unit price</t>
        </is>
      </c>
      <c r="G15" s="4" t="inlineStr">
        <is>
          <t xml:space="preserve">Line price</t>
        </is>
      </c>
    </row>
    <row r="16">
      <c r="A16" t="inlineStr">
        <is>
          <t xml:space="preserve">Front brake rotor</t>
        </is>
      </c>
      <c r="C16" s="9">
        <v>2</v>
      </c>
      <c r="D16" s="3">
        <v>68.4</v>
      </c>
      <c r="E16" s="13">
        <f>IF(D16="","",VLOOKUP(D16,$A$34:$B$37,2,TRUE))</f>
        <v>0.6</v>
      </c>
      <c r="F16" s="3">
        <f>IF(D16="","",ROUND(D16*(1+E16),2))</f>
        <v>109.44</v>
      </c>
      <c r="G16" s="3">
        <f>IF(D16="","",ROUND(C16*F16,2))</f>
        <v>218.88</v>
      </c>
    </row>
    <row r="17">
      <c r="A17" t="inlineStr">
        <is>
          <t xml:space="preserve">Front ceramic pad set</t>
        </is>
      </c>
      <c r="C17" s="9">
        <v>1</v>
      </c>
      <c r="D17" s="3">
        <v>52.1</v>
      </c>
      <c r="E17" s="13">
        <f>IF(D17="","",VLOOKUP(D17,$A$34:$B$37,2,TRUE))</f>
        <v>0.6</v>
      </c>
      <c r="F17" s="3">
        <f>IF(D17="","",ROUND(D17*(1+E17),2))</f>
        <v>83.36</v>
      </c>
      <c r="G17" s="3">
        <f>IF(D17="","",ROUND(C17*F17,2))</f>
        <v>83.36</v>
      </c>
    </row>
    <row r="18">
      <c r="A18" t="inlineStr">
        <is>
          <t xml:space="preserve">Rear ceramic pad set</t>
        </is>
      </c>
      <c r="C18" s="9">
        <v>1</v>
      </c>
      <c r="D18" s="3">
        <v>41.8</v>
      </c>
      <c r="E18" s="13">
        <f>IF(D18="","",VLOOKUP(D18,$A$34:$B$37,2,TRUE))</f>
        <v>0.6</v>
      </c>
      <c r="F18" s="3">
        <f>IF(D18="","",ROUND(D18*(1+E18),2))</f>
        <v>66.88</v>
      </c>
      <c r="G18" s="3">
        <f>IF(D18="","",ROUND(C18*F18,2))</f>
        <v>66.88</v>
      </c>
    </row>
    <row r="19">
      <c r="A19" t="inlineStr">
        <is>
          <t xml:space="preserve">Brake fluid, 1 qt</t>
        </is>
      </c>
      <c r="C19" s="9">
        <v>2</v>
      </c>
      <c r="D19" s="3">
        <v>9.25</v>
      </c>
      <c r="E19" s="13">
        <f>IF(D19="","",VLOOKUP(D19,$A$34:$B$37,2,TRUE))</f>
        <v>1</v>
      </c>
      <c r="F19" s="3">
        <f>IF(D19="","",ROUND(D19*(1+E19),2))</f>
        <v>18.5</v>
      </c>
      <c r="G19" s="3">
        <f>IF(D19="","",ROUND(C19*F19,2))</f>
        <v>37</v>
      </c>
    </row>
    <row r="20">
      <c r="A20" t="inlineStr">
        <is>
          <t xml:space="preserve">Caliper hardware kit</t>
        </is>
      </c>
      <c r="C20" s="9">
        <v>2</v>
      </c>
      <c r="D20" s="3">
        <v>12.6</v>
      </c>
      <c r="E20" s="13">
        <f>IF(D20="","",VLOOKUP(D20,$A$34:$B$37,2,TRUE))</f>
        <v>1</v>
      </c>
      <c r="F20" s="3">
        <f>IF(D20="","",ROUND(D20*(1+E20),2))</f>
        <v>25.2</v>
      </c>
      <c r="G20" s="3">
        <f>IF(D20="","",ROUND(C20*F20,2))</f>
        <v>50.4</v>
      </c>
    </row>
    <row r="21">
      <c r="A21" t="inlineStr">
        <is>
          <t xml:space="preserve">ABS wheel speed sensor</t>
        </is>
      </c>
      <c r="C21" s="9">
        <v>1</v>
      </c>
      <c r="D21" s="3">
        <v>112.5</v>
      </c>
      <c r="E21" s="13">
        <f>IF(D21="","",VLOOKUP(D21,$A$34:$B$37,2,TRUE))</f>
        <v>0.45</v>
      </c>
      <c r="F21" s="3">
        <f>IF(D21="","",ROUND(D21*(1+E21),2))</f>
        <v>163.13</v>
      </c>
      <c r="G21" s="3">
        <f>IF(D21="","",ROUND(C21*F21,2))</f>
        <v>163.13</v>
      </c>
    </row>
    <row r="22">
      <c r="E22" s="13" t="str">
        <f>IF(D22="","",VLOOKUP(D22,$A$34:$B$37,2,TRUE))</f>
        <v/>
      </c>
      <c r="F22" s="3" t="str">
        <f>IF(D22="","",ROUND(D22*(1+E22),2))</f>
        <v/>
      </c>
      <c r="G22" s="3" t="str">
        <f>IF(D22="","",ROUND(C22*F22,2))</f>
        <v/>
      </c>
    </row>
    <row r="23">
      <c r="A23" s="2" t="inlineStr">
        <is>
          <t xml:space="preserve">Parts total</t>
        </is>
      </c>
      <c r="G23" s="4">
        <f>SUM(G16:G22)</f>
        <v>619.65</v>
      </c>
    </row>
    <row r="25">
      <c r="A25" t="inlineStr">
        <is>
          <t xml:space="preserve">Shop supplies</t>
        </is>
      </c>
      <c r="G25" s="3">
        <f>MIN(ROUND(G13*G3,2),G4)</f>
        <v>40</v>
      </c>
    </row>
    <row r="26">
      <c r="A26" t="inlineStr">
        <is>
          <t xml:space="preserve">Tax on parts</t>
        </is>
      </c>
      <c r="G26" s="3">
        <f>ROUND(G23*G5,2)</f>
        <v>43.38</v>
      </c>
    </row>
    <row r="27">
      <c r="A27" s="2" t="inlineStr">
        <is>
          <t xml:space="preserve">Estimate total</t>
        </is>
      </c>
      <c r="G27" s="4">
        <f>G13+G23+G25+G26</f>
        <v>1399.03</v>
      </c>
    </row>
    <row r="29">
      <c r="A29" t="inlineStr">
        <is>
          <t xml:space="preserve">Parts cost to the shop</t>
        </is>
      </c>
      <c r="G29" s="3">
        <f>SUMPRODUCT(C16:C22,D16:D22)</f>
        <v>386.9</v>
      </c>
    </row>
    <row r="30">
      <c r="A30" t="inlineStr">
        <is>
          <t xml:space="preserve">Gross profit on parts</t>
        </is>
      </c>
      <c r="G30" s="3">
        <f>G23-G29</f>
        <v>232.75</v>
      </c>
    </row>
    <row r="31">
      <c r="A31" t="inlineStr">
        <is>
          <t xml:space="preserve">Parts margin (profit / price)</t>
        </is>
      </c>
      <c r="G31" s="13">
        <f>IF(G23&gt;0,G30/G23,0)</f>
        <v>0.375615266682805</v>
      </c>
    </row>
    <row r="33">
      <c r="A33" s="2" t="inlineStr">
        <is>
          <t xml:space="preserve">Parts markup matrix: unit cost from</t>
        </is>
      </c>
      <c r="B33" t="inlineStr">
        <is>
          <t xml:space="preserve">Markup</t>
        </is>
      </c>
    </row>
    <row r="34">
      <c r="A34" s="3">
        <v>0</v>
      </c>
      <c r="B34" s="13">
        <v>1</v>
      </c>
    </row>
    <row r="35">
      <c r="A35" s="3">
        <v>25</v>
      </c>
      <c r="B35" s="13">
        <v>0.6</v>
      </c>
    </row>
    <row r="36">
      <c r="A36" s="3">
        <v>100</v>
      </c>
      <c r="B36" s="13">
        <v>0.45</v>
      </c>
    </row>
    <row r="37">
      <c r="A37" s="3">
        <v>250</v>
      </c>
      <c r="B37" s="13">
        <v>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auto repair estimate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